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Temp\yytmp1\16111654342\"/>
    </mc:Choice>
  </mc:AlternateContent>
  <bookViews>
    <workbookView xWindow="0" yWindow="0" windowWidth="22605" windowHeight="11460" tabRatio="826"/>
  </bookViews>
  <sheets>
    <sheet name="型钢单重等计算" sheetId="2" r:id="rId1"/>
    <sheet name="常用螺栓使用长度计算" sheetId="4" r:id="rId2"/>
    <sheet name="彩钢板相关计算" sheetId="5" r:id="rId3"/>
    <sheet name="吨位换算车次" sheetId="7" r:id="rId4"/>
    <sheet name="花纹钢板防火涂料" sheetId="8" r:id="rId5"/>
    <sheet name="焊接工字截面特性参数计算" sheetId="6" r:id="rId6"/>
    <sheet name="螺旋钢筋" sheetId="9" r:id="rId7"/>
  </sheets>
  <calcPr calcId="162913"/>
</workbook>
</file>

<file path=xl/calcChain.xml><?xml version="1.0" encoding="utf-8"?>
<calcChain xmlns="http://schemas.openxmlformats.org/spreadsheetml/2006/main">
  <c r="G5" i="9" l="1"/>
  <c r="I5" i="9"/>
  <c r="K5" i="9"/>
  <c r="M5" i="9" s="1"/>
  <c r="M9" i="9" s="1"/>
  <c r="G7" i="9"/>
  <c r="I7" i="9"/>
  <c r="K7" i="9"/>
  <c r="M7" i="9" s="1"/>
  <c r="G6" i="9"/>
  <c r="H6" i="9"/>
  <c r="I6" i="9"/>
  <c r="K6" i="9" s="1"/>
  <c r="M6" i="9" s="1"/>
  <c r="M8" i="9" s="1"/>
  <c r="AC37" i="8"/>
  <c r="M37" i="8" s="1"/>
  <c r="R37" i="8"/>
  <c r="K37" i="8"/>
  <c r="K6" i="8"/>
  <c r="K12" i="8"/>
  <c r="K14" i="8" s="1"/>
  <c r="K16" i="8" s="1"/>
  <c r="C40" i="2"/>
  <c r="G31" i="2"/>
  <c r="C31" i="2"/>
  <c r="D107" i="5"/>
  <c r="D25" i="5"/>
  <c r="D43" i="5"/>
  <c r="P10" i="4"/>
  <c r="O12" i="4" s="1"/>
  <c r="J10" i="4"/>
  <c r="J12" i="4" s="1"/>
  <c r="J14" i="4" s="1"/>
  <c r="D10" i="4"/>
  <c r="C12" i="4"/>
  <c r="D12" i="4"/>
  <c r="D14" i="4"/>
  <c r="C32" i="6"/>
  <c r="C36" i="6"/>
  <c r="D123" i="5"/>
  <c r="G20" i="2"/>
  <c r="G11" i="2"/>
  <c r="C34" i="6"/>
  <c r="G41" i="2"/>
  <c r="D133" i="5"/>
  <c r="C13" i="7"/>
  <c r="C9" i="7"/>
  <c r="J12" i="5"/>
  <c r="D82" i="5"/>
  <c r="J64" i="5"/>
  <c r="D64" i="5"/>
  <c r="D93" i="5"/>
  <c r="D112" i="5" s="1"/>
  <c r="D99" i="5"/>
  <c r="D72" i="5"/>
  <c r="D54" i="5"/>
  <c r="D27" i="5"/>
  <c r="D29" i="5" s="1"/>
  <c r="C11" i="6"/>
  <c r="C15" i="6"/>
  <c r="C19" i="6"/>
  <c r="C13" i="6"/>
  <c r="C21" i="6" s="1"/>
  <c r="C9" i="6"/>
  <c r="P12" i="4"/>
  <c r="P14" i="4"/>
  <c r="I12" i="4"/>
  <c r="C74" i="2"/>
  <c r="C63" i="2"/>
  <c r="C68" i="2"/>
  <c r="C10" i="2"/>
  <c r="C20" i="2"/>
  <c r="C56" i="2"/>
  <c r="D13" i="5"/>
  <c r="C48" i="2"/>
  <c r="C50" i="2" s="1"/>
  <c r="S12" i="8"/>
  <c r="H29" i="5" l="1"/>
  <c r="F29" i="5"/>
  <c r="E29" i="5"/>
  <c r="D31" i="5"/>
  <c r="G29" i="5"/>
  <c r="C17" i="6"/>
  <c r="P37" i="8"/>
  <c r="H37" i="8"/>
</calcChain>
</file>

<file path=xl/comments1.xml><?xml version="1.0" encoding="utf-8"?>
<comments xmlns="http://schemas.openxmlformats.org/spreadsheetml/2006/main">
  <authors>
    <author>陈欢庆</author>
  </authors>
  <commentList>
    <comment ref="V4" authorId="0" shapeId="0">
      <text>
        <r>
          <rPr>
            <b/>
            <sz val="12"/>
            <color indexed="81"/>
            <rFont val="宋体"/>
            <family val="3"/>
            <charset val="134"/>
          </rPr>
          <t xml:space="preserve">菱形花纹：1.0mm、1.5mm、2.0mm
扁豆形花纹：2.5mm
</t>
        </r>
      </text>
    </comment>
  </commentList>
</comments>
</file>

<file path=xl/sharedStrings.xml><?xml version="1.0" encoding="utf-8"?>
<sst xmlns="http://schemas.openxmlformats.org/spreadsheetml/2006/main" count="479" uniqueCount="273">
  <si>
    <t>(mm)</t>
    <phoneticPr fontId="2" type="noConversion"/>
  </si>
  <si>
    <r>
      <t>翼板厚度（</t>
    </r>
    <r>
      <rPr>
        <b/>
        <sz val="12"/>
        <rFont val="宋体"/>
        <family val="3"/>
        <charset val="134"/>
      </rPr>
      <t>t</t>
    </r>
    <r>
      <rPr>
        <sz val="12"/>
        <rFont val="宋体"/>
        <family val="3"/>
        <charset val="134"/>
      </rPr>
      <t>）</t>
    </r>
    <phoneticPr fontId="2" type="noConversion"/>
  </si>
  <si>
    <r>
      <t>腹板厚度(</t>
    </r>
    <r>
      <rPr>
        <b/>
        <sz val="12"/>
        <rFont val="宋体"/>
        <family val="3"/>
        <charset val="134"/>
      </rPr>
      <t>t</t>
    </r>
    <r>
      <rPr>
        <b/>
        <vertAlign val="subscript"/>
        <sz val="12"/>
        <rFont val="宋体"/>
        <family val="3"/>
        <charset val="134"/>
      </rPr>
      <t>w</t>
    </r>
    <r>
      <rPr>
        <sz val="12"/>
        <rFont val="宋体"/>
        <family val="3"/>
        <charset val="134"/>
      </rPr>
      <t>）</t>
    </r>
    <phoneticPr fontId="2" type="noConversion"/>
  </si>
  <si>
    <t>(kg/m)</t>
    <phoneticPr fontId="2" type="noConversion"/>
  </si>
  <si>
    <r>
      <t>外包高（</t>
    </r>
    <r>
      <rPr>
        <b/>
        <sz val="12"/>
        <rFont val="宋体"/>
        <family val="3"/>
        <charset val="134"/>
      </rPr>
      <t>H</t>
    </r>
    <r>
      <rPr>
        <sz val="12"/>
        <rFont val="宋体"/>
        <family val="3"/>
        <charset val="134"/>
      </rPr>
      <t>）</t>
    </r>
    <phoneticPr fontId="2" type="noConversion"/>
  </si>
  <si>
    <t>注意：以下各公式黑色部分为公式，不可修改，不要填入数值，否则会造成错误，无法真确使用</t>
    <phoneticPr fontId="2" type="noConversion"/>
  </si>
  <si>
    <r>
      <t>翼缘宽（</t>
    </r>
    <r>
      <rPr>
        <b/>
        <sz val="12"/>
        <rFont val="宋体"/>
        <family val="3"/>
        <charset val="134"/>
      </rPr>
      <t>b</t>
    </r>
    <r>
      <rPr>
        <sz val="12"/>
        <rFont val="宋体"/>
        <family val="3"/>
        <charset val="134"/>
      </rPr>
      <t>）</t>
    </r>
    <phoneticPr fontId="2" type="noConversion"/>
  </si>
  <si>
    <r>
      <t>上翼缘宽（</t>
    </r>
    <r>
      <rPr>
        <b/>
        <sz val="12"/>
        <rFont val="宋体"/>
        <family val="3"/>
        <charset val="134"/>
      </rPr>
      <t>b</t>
    </r>
    <r>
      <rPr>
        <b/>
        <vertAlign val="subscript"/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</t>
    </r>
    <phoneticPr fontId="2" type="noConversion"/>
  </si>
  <si>
    <r>
      <t>下翼缘宽（</t>
    </r>
    <r>
      <rPr>
        <b/>
        <sz val="12"/>
        <rFont val="宋体"/>
        <family val="3"/>
        <charset val="134"/>
      </rPr>
      <t>b</t>
    </r>
    <r>
      <rPr>
        <b/>
        <vertAlign val="sub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</t>
    </r>
    <r>
      <rPr>
        <sz val="12"/>
        <rFont val="宋体"/>
        <family val="3"/>
        <charset val="134"/>
      </rPr>
      <t/>
    </r>
    <phoneticPr fontId="2" type="noConversion"/>
  </si>
  <si>
    <r>
      <t>上翼厚度（</t>
    </r>
    <r>
      <rPr>
        <b/>
        <sz val="12"/>
        <rFont val="宋体"/>
        <family val="3"/>
        <charset val="134"/>
      </rPr>
      <t>t</t>
    </r>
    <r>
      <rPr>
        <b/>
        <vertAlign val="subscript"/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</t>
    </r>
    <phoneticPr fontId="2" type="noConversion"/>
  </si>
  <si>
    <r>
      <t>下翼厚度（</t>
    </r>
    <r>
      <rPr>
        <b/>
        <sz val="12"/>
        <rFont val="宋体"/>
        <family val="3"/>
        <charset val="134"/>
      </rPr>
      <t>t</t>
    </r>
    <r>
      <rPr>
        <b/>
        <vertAlign val="sub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</t>
    </r>
    <phoneticPr fontId="2" type="noConversion"/>
  </si>
  <si>
    <r>
      <t>理论单重（</t>
    </r>
    <r>
      <rPr>
        <b/>
        <sz val="12"/>
        <rFont val="宋体"/>
        <family val="3"/>
        <charset val="134"/>
      </rPr>
      <t>G</t>
    </r>
    <r>
      <rPr>
        <sz val="12"/>
        <rFont val="宋体"/>
        <family val="3"/>
        <charset val="134"/>
      </rPr>
      <t>）</t>
    </r>
    <phoneticPr fontId="2" type="noConversion"/>
  </si>
  <si>
    <t>0.95*G</t>
    <phoneticPr fontId="2" type="noConversion"/>
  </si>
  <si>
    <t>a：</t>
    <phoneticPr fontId="2" type="noConversion"/>
  </si>
  <si>
    <r>
      <t>b</t>
    </r>
    <r>
      <rPr>
        <sz val="12"/>
        <rFont val="宋体"/>
        <family val="3"/>
        <charset val="134"/>
      </rPr>
      <t>：</t>
    </r>
    <phoneticPr fontId="2" type="noConversion"/>
  </si>
  <si>
    <r>
      <t>c</t>
    </r>
    <r>
      <rPr>
        <sz val="12"/>
        <rFont val="宋体"/>
        <family val="3"/>
        <charset val="134"/>
      </rPr>
      <t>：</t>
    </r>
    <phoneticPr fontId="2" type="noConversion"/>
  </si>
  <si>
    <r>
      <t>t</t>
    </r>
    <r>
      <rPr>
        <sz val="12"/>
        <rFont val="宋体"/>
        <family val="3"/>
        <charset val="134"/>
      </rPr>
      <t>：</t>
    </r>
    <phoneticPr fontId="2" type="noConversion"/>
  </si>
  <si>
    <t>d：</t>
    <phoneticPr fontId="2" type="noConversion"/>
  </si>
  <si>
    <t>b：</t>
    <phoneticPr fontId="2" type="noConversion"/>
  </si>
  <si>
    <r>
      <t>矩形钢管单重计算（</t>
    </r>
    <r>
      <rPr>
        <b/>
        <sz val="12"/>
        <color indexed="9"/>
        <rFont val="宋体"/>
        <family val="3"/>
        <charset val="134"/>
      </rPr>
      <t>□</t>
    </r>
    <r>
      <rPr>
        <sz val="12"/>
        <color indexed="9"/>
        <rFont val="宋体"/>
        <family val="3"/>
        <charset val="134"/>
      </rPr>
      <t>a×b×t）</t>
    </r>
    <phoneticPr fontId="2" type="noConversion"/>
  </si>
  <si>
    <r>
      <t>C（Z）型钢单重计算（</t>
    </r>
    <r>
      <rPr>
        <b/>
        <sz val="12"/>
        <color indexed="9"/>
        <rFont val="宋体"/>
        <family val="3"/>
        <charset val="134"/>
      </rPr>
      <t>C(Z)</t>
    </r>
    <r>
      <rPr>
        <sz val="12"/>
        <color indexed="9"/>
        <rFont val="宋体"/>
        <family val="3"/>
        <charset val="134"/>
      </rPr>
      <t xml:space="preserve"> a×b×c×t）</t>
    </r>
    <phoneticPr fontId="2" type="noConversion"/>
  </si>
  <si>
    <t>彩 钢 板 预 算 报 价</t>
    <phoneticPr fontId="2" type="noConversion"/>
  </si>
  <si>
    <t>彩 钢 板 换 算 吨 位</t>
    <phoneticPr fontId="2" type="noConversion"/>
  </si>
  <si>
    <t>厚度：</t>
    <phoneticPr fontId="2" type="noConversion"/>
  </si>
  <si>
    <t>mm</t>
    <phoneticPr fontId="2" type="noConversion"/>
  </si>
  <si>
    <t>mm</t>
    <phoneticPr fontId="2" type="noConversion"/>
  </si>
  <si>
    <t>型号展开：</t>
    <phoneticPr fontId="2" type="noConversion"/>
  </si>
  <si>
    <t>m</t>
    <phoneticPr fontId="2" type="noConversion"/>
  </si>
  <si>
    <r>
      <t>T/</t>
    </r>
    <r>
      <rPr>
        <sz val="12"/>
        <rFont val="宋体"/>
        <family val="3"/>
        <charset val="134"/>
      </rPr>
      <t>元</t>
    </r>
    <phoneticPr fontId="2" type="noConversion"/>
  </si>
  <si>
    <t>面积</t>
    <phoneticPr fontId="2" type="noConversion"/>
  </si>
  <si>
    <r>
      <t>m</t>
    </r>
    <r>
      <rPr>
        <vertAlign val="superscript"/>
        <sz val="12"/>
        <rFont val="MingLiU"/>
        <family val="3"/>
        <charset val="136"/>
      </rPr>
      <t>2</t>
    </r>
    <phoneticPr fontId="2" type="noConversion"/>
  </si>
  <si>
    <t>利润：</t>
    <phoneticPr fontId="2" type="noConversion"/>
  </si>
  <si>
    <t>元</t>
    <phoneticPr fontId="2" type="noConversion"/>
  </si>
  <si>
    <t>吨位：</t>
    <phoneticPr fontId="2" type="noConversion"/>
  </si>
  <si>
    <t>T</t>
    <phoneticPr fontId="2" type="noConversion"/>
  </si>
  <si>
    <t>夹紧厚度：</t>
    <phoneticPr fontId="2" type="noConversion"/>
  </si>
  <si>
    <t>选择</t>
    <phoneticPr fontId="2" type="noConversion"/>
  </si>
  <si>
    <t>螺栓</t>
    <phoneticPr fontId="2" type="noConversion"/>
  </si>
  <si>
    <t>选择型号：</t>
    <phoneticPr fontId="2" type="noConversion"/>
  </si>
  <si>
    <r>
      <t>("</t>
    </r>
    <r>
      <rPr>
        <b/>
        <sz val="12"/>
        <rFont val="Times New Roman"/>
        <family val="1"/>
      </rPr>
      <t>16</t>
    </r>
    <r>
      <rPr>
        <sz val="12"/>
        <rFont val="Times New Roman"/>
        <family val="1"/>
      </rPr>
      <t>"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"</t>
    </r>
    <r>
      <rPr>
        <b/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"、"</t>
    </r>
    <r>
      <rPr>
        <b/>
        <sz val="12"/>
        <rFont val="宋体"/>
        <family val="3"/>
        <charset val="134"/>
      </rPr>
      <t>22</t>
    </r>
    <r>
      <rPr>
        <sz val="12"/>
        <rFont val="宋体"/>
        <family val="3"/>
        <charset val="134"/>
      </rPr>
      <t>"、"</t>
    </r>
    <r>
      <rPr>
        <b/>
        <sz val="12"/>
        <rFont val="宋体"/>
        <family val="3"/>
        <charset val="134"/>
      </rPr>
      <t>24</t>
    </r>
    <r>
      <rPr>
        <sz val="12"/>
        <rFont val="宋体"/>
        <family val="3"/>
        <charset val="134"/>
      </rPr>
      <t>"）</t>
    </r>
    <phoneticPr fontId="2" type="noConversion"/>
  </si>
  <si>
    <r>
      <t>矩形方钢单重计算（</t>
    </r>
    <r>
      <rPr>
        <b/>
        <sz val="12"/>
        <color indexed="9"/>
        <rFont val="宋体"/>
        <family val="3"/>
        <charset val="134"/>
      </rPr>
      <t>■a×b</t>
    </r>
    <r>
      <rPr>
        <sz val="12"/>
        <color indexed="9"/>
        <rFont val="宋体"/>
        <family val="3"/>
        <charset val="134"/>
      </rPr>
      <t>）</t>
    </r>
    <phoneticPr fontId="2" type="noConversion"/>
  </si>
  <si>
    <t>参考报价：</t>
    <phoneticPr fontId="2" type="noConversion"/>
  </si>
  <si>
    <r>
      <t>圆钢单重计算（</t>
    </r>
    <r>
      <rPr>
        <b/>
        <sz val="12"/>
        <color indexed="9"/>
        <rFont val="宋体"/>
        <family val="3"/>
        <charset val="134"/>
      </rPr>
      <t>●d</t>
    </r>
    <r>
      <rPr>
        <sz val="12"/>
        <color indexed="9"/>
        <rFont val="宋体"/>
        <family val="3"/>
        <charset val="134"/>
      </rPr>
      <t>）</t>
    </r>
    <phoneticPr fontId="2" type="noConversion"/>
  </si>
  <si>
    <t>`</t>
    <phoneticPr fontId="2" type="noConversion"/>
  </si>
  <si>
    <t>螺杆计算长度：</t>
    <phoneticPr fontId="2" type="noConversion"/>
  </si>
  <si>
    <r>
      <t>惯性矩(</t>
    </r>
    <r>
      <rPr>
        <b/>
        <sz val="12"/>
        <rFont val="宋体"/>
        <family val="3"/>
        <charset val="134"/>
      </rPr>
      <t>I</t>
    </r>
    <r>
      <rPr>
        <b/>
        <vertAlign val="subscript"/>
        <sz val="12"/>
        <rFont val="宋体"/>
        <family val="3"/>
        <charset val="134"/>
      </rPr>
      <t>x</t>
    </r>
    <r>
      <rPr>
        <sz val="12"/>
        <rFont val="宋体"/>
        <family val="3"/>
        <charset val="134"/>
      </rPr>
      <t>)</t>
    </r>
    <phoneticPr fontId="2" type="noConversion"/>
  </si>
  <si>
    <r>
      <t>(cm</t>
    </r>
    <r>
      <rPr>
        <vertAlign val="superscript"/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)</t>
    </r>
    <phoneticPr fontId="2" type="noConversion"/>
  </si>
  <si>
    <r>
      <t>惯性矩(</t>
    </r>
    <r>
      <rPr>
        <b/>
        <sz val="12"/>
        <rFont val="宋体"/>
        <family val="3"/>
        <charset val="134"/>
      </rPr>
      <t>I</t>
    </r>
    <r>
      <rPr>
        <b/>
        <vertAlign val="subscript"/>
        <sz val="12"/>
        <rFont val="宋体"/>
        <family val="3"/>
        <charset val="134"/>
      </rPr>
      <t>y</t>
    </r>
    <r>
      <rPr>
        <sz val="12"/>
        <rFont val="宋体"/>
        <family val="3"/>
        <charset val="134"/>
      </rPr>
      <t>)</t>
    </r>
    <phoneticPr fontId="2" type="noConversion"/>
  </si>
  <si>
    <r>
      <t>惯性半径(</t>
    </r>
    <r>
      <rPr>
        <b/>
        <sz val="12"/>
        <rFont val="宋体"/>
        <family val="3"/>
        <charset val="134"/>
      </rPr>
      <t>i</t>
    </r>
    <r>
      <rPr>
        <b/>
        <vertAlign val="subscript"/>
        <sz val="12"/>
        <rFont val="宋体"/>
        <family val="3"/>
        <charset val="134"/>
      </rPr>
      <t>y</t>
    </r>
    <r>
      <rPr>
        <sz val="12"/>
        <rFont val="宋体"/>
        <family val="3"/>
        <charset val="134"/>
      </rPr>
      <t>)</t>
    </r>
    <phoneticPr fontId="2" type="noConversion"/>
  </si>
  <si>
    <r>
      <t>(cm</t>
    </r>
    <r>
      <rPr>
        <sz val="12"/>
        <rFont val="宋体"/>
        <family val="3"/>
        <charset val="134"/>
      </rPr>
      <t>)</t>
    </r>
    <phoneticPr fontId="2" type="noConversion"/>
  </si>
  <si>
    <r>
      <t>惯性半径(</t>
    </r>
    <r>
      <rPr>
        <b/>
        <sz val="12"/>
        <rFont val="宋体"/>
        <family val="3"/>
        <charset val="134"/>
      </rPr>
      <t>i</t>
    </r>
    <r>
      <rPr>
        <b/>
        <vertAlign val="subscript"/>
        <sz val="12"/>
        <rFont val="宋体"/>
        <family val="3"/>
        <charset val="134"/>
      </rPr>
      <t>x</t>
    </r>
    <r>
      <rPr>
        <sz val="12"/>
        <rFont val="宋体"/>
        <family val="3"/>
        <charset val="134"/>
      </rPr>
      <t>)</t>
    </r>
    <phoneticPr fontId="2" type="noConversion"/>
  </si>
  <si>
    <r>
      <t>截面模数(</t>
    </r>
    <r>
      <rPr>
        <b/>
        <sz val="12"/>
        <rFont val="宋体"/>
        <family val="3"/>
        <charset val="134"/>
      </rPr>
      <t>W</t>
    </r>
    <r>
      <rPr>
        <b/>
        <vertAlign val="subscript"/>
        <sz val="12"/>
        <rFont val="宋体"/>
        <family val="3"/>
        <charset val="134"/>
      </rPr>
      <t>x</t>
    </r>
    <r>
      <rPr>
        <sz val="12"/>
        <rFont val="宋体"/>
        <family val="3"/>
        <charset val="134"/>
      </rPr>
      <t>)</t>
    </r>
    <phoneticPr fontId="2" type="noConversion"/>
  </si>
  <si>
    <r>
      <t>(cm</t>
    </r>
    <r>
      <rPr>
        <vertAlign val="super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)</t>
    </r>
    <phoneticPr fontId="2" type="noConversion"/>
  </si>
  <si>
    <r>
      <t>截面面积(</t>
    </r>
    <r>
      <rPr>
        <b/>
        <sz val="12"/>
        <rFont val="宋体"/>
        <family val="3"/>
        <charset val="134"/>
      </rPr>
      <t>A</t>
    </r>
    <r>
      <rPr>
        <sz val="12"/>
        <rFont val="宋体"/>
        <family val="3"/>
        <charset val="134"/>
      </rPr>
      <t>)</t>
    </r>
    <phoneticPr fontId="2" type="noConversion"/>
  </si>
  <si>
    <r>
      <t>(cm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)</t>
    </r>
    <phoneticPr fontId="2" type="noConversion"/>
  </si>
  <si>
    <t>双轴对称焊接工字形截面等截面梁截面特性计算</t>
    <phoneticPr fontId="2" type="noConversion"/>
  </si>
  <si>
    <t>单轴对称焊接工字形截面等截面梁截面特性计算</t>
    <phoneticPr fontId="2" type="noConversion"/>
  </si>
  <si>
    <t>双轴对称焊接工字形截面等截面梁截面单重计算</t>
    <phoneticPr fontId="2" type="noConversion"/>
  </si>
  <si>
    <t>单轴对称焊接工字形截面等截面梁截面单重计算</t>
    <phoneticPr fontId="2" type="noConversion"/>
  </si>
  <si>
    <r>
      <t>钢板重量计算（</t>
    </r>
    <r>
      <rPr>
        <b/>
        <sz val="12"/>
        <color indexed="9"/>
        <rFont val="宋体"/>
        <family val="3"/>
        <charset val="134"/>
      </rPr>
      <t>―</t>
    </r>
    <r>
      <rPr>
        <sz val="12"/>
        <color indexed="9"/>
        <rFont val="宋体"/>
        <family val="3"/>
        <charset val="134"/>
      </rPr>
      <t>a×b×t）</t>
    </r>
    <phoneticPr fontId="2" type="noConversion"/>
  </si>
  <si>
    <t>(kg)</t>
    <phoneticPr fontId="2" type="noConversion"/>
  </si>
  <si>
    <r>
      <t>圆钢管单重计算（</t>
    </r>
    <r>
      <rPr>
        <b/>
        <sz val="12"/>
        <color indexed="9"/>
        <rFont val="宋体"/>
        <family val="3"/>
        <charset val="134"/>
      </rPr>
      <t>◎</t>
    </r>
    <r>
      <rPr>
        <sz val="12"/>
        <color indexed="9"/>
        <rFont val="宋体"/>
        <family val="3"/>
        <charset val="134"/>
      </rPr>
      <t>a×t）</t>
    </r>
    <phoneticPr fontId="2" type="noConversion"/>
  </si>
  <si>
    <r>
      <t>单坡彩板覆盖净长度</t>
    </r>
    <r>
      <rPr>
        <b/>
        <sz val="12"/>
        <rFont val="宋体"/>
        <family val="3"/>
        <charset val="134"/>
      </rPr>
      <t>L</t>
    </r>
    <r>
      <rPr>
        <sz val="12"/>
        <rFont val="宋体"/>
        <family val="3"/>
        <charset val="134"/>
      </rPr>
      <t>：</t>
    </r>
    <phoneticPr fontId="2" type="noConversion"/>
  </si>
  <si>
    <r>
      <t>彩板覆盖净跨度</t>
    </r>
    <r>
      <rPr>
        <b/>
        <sz val="12"/>
        <rFont val="宋体"/>
        <family val="3"/>
        <charset val="134"/>
      </rPr>
      <t>S</t>
    </r>
    <r>
      <rPr>
        <sz val="12"/>
        <rFont val="宋体"/>
        <family val="3"/>
        <charset val="134"/>
      </rPr>
      <t>：</t>
    </r>
    <phoneticPr fontId="2" type="noConversion"/>
  </si>
  <si>
    <t>（S为开间方向）</t>
    <phoneticPr fontId="2" type="noConversion"/>
  </si>
  <si>
    <t>（m）</t>
    <phoneticPr fontId="2" type="noConversion"/>
  </si>
  <si>
    <t>（mm）</t>
    <phoneticPr fontId="2" type="noConversion"/>
  </si>
  <si>
    <t>（张）</t>
    <phoneticPr fontId="2" type="noConversion"/>
  </si>
  <si>
    <t>型号：</t>
    <phoneticPr fontId="2" type="noConversion"/>
  </si>
  <si>
    <t>(即彩板的有效宽度，单位：mm)</t>
    <phoneticPr fontId="2" type="noConversion"/>
  </si>
  <si>
    <t>（L为进深方向）</t>
    <phoneticPr fontId="2" type="noConversion"/>
  </si>
  <si>
    <r>
      <t>（m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</t>
    </r>
    <phoneticPr fontId="2" type="noConversion"/>
  </si>
  <si>
    <t>决算面积：</t>
    <phoneticPr fontId="2" type="noConversion"/>
  </si>
  <si>
    <r>
      <t>单坡</t>
    </r>
    <r>
      <rPr>
        <sz val="12"/>
        <rFont val="宋体"/>
        <family val="3"/>
        <charset val="134"/>
      </rPr>
      <t>所需彩板张数</t>
    </r>
    <r>
      <rPr>
        <b/>
        <sz val="12"/>
        <rFont val="宋体"/>
        <family val="3"/>
        <charset val="134"/>
      </rPr>
      <t>N</t>
    </r>
    <r>
      <rPr>
        <sz val="12"/>
        <rFont val="宋体"/>
        <family val="3"/>
        <charset val="134"/>
      </rPr>
      <t>：</t>
    </r>
    <phoneticPr fontId="2" type="noConversion"/>
  </si>
  <si>
    <r>
      <t>参考结果数量</t>
    </r>
    <r>
      <rPr>
        <b/>
        <sz val="12"/>
        <rFont val="宋体"/>
        <family val="3"/>
        <charset val="134"/>
      </rPr>
      <t>：需要</t>
    </r>
    <phoneticPr fontId="2" type="noConversion"/>
  </si>
  <si>
    <t>型彩钢板</t>
  </si>
  <si>
    <t>第一种彩板总面积为：</t>
    <phoneticPr fontId="2" type="noConversion"/>
  </si>
  <si>
    <t>第二种彩板总面积为：</t>
    <phoneticPr fontId="2" type="noConversion"/>
  </si>
  <si>
    <t>第三种彩板总面积为：</t>
    <phoneticPr fontId="2" type="noConversion"/>
  </si>
  <si>
    <t>其它彩板总面积为：</t>
    <phoneticPr fontId="2" type="noConversion"/>
  </si>
  <si>
    <t>屋面彩钢板总面积为：</t>
    <phoneticPr fontId="2" type="noConversion"/>
  </si>
  <si>
    <t>预算面积：</t>
    <phoneticPr fontId="2" type="noConversion"/>
  </si>
  <si>
    <t>最后结果可参照此得出</t>
    <phoneticPr fontId="2" type="noConversion"/>
  </si>
  <si>
    <r>
      <t>（m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</t>
    </r>
    <phoneticPr fontId="2" type="noConversion"/>
  </si>
  <si>
    <t>mm 高</t>
    <phoneticPr fontId="2" type="noConversion"/>
  </si>
  <si>
    <t>mm</t>
  </si>
  <si>
    <t>mm</t>
    <phoneticPr fontId="2" type="noConversion"/>
  </si>
  <si>
    <t>樘</t>
    <phoneticPr fontId="2" type="noConversion"/>
  </si>
  <si>
    <t>数量：</t>
    <phoneticPr fontId="2" type="noConversion"/>
  </si>
  <si>
    <t>其它面积：</t>
    <phoneticPr fontId="2" type="noConversion"/>
  </si>
  <si>
    <t>所有门面积：</t>
    <phoneticPr fontId="2" type="noConversion"/>
  </si>
  <si>
    <r>
      <t>（m</t>
    </r>
    <r>
      <rPr>
        <b/>
        <vertAlign val="superscript"/>
        <sz val="12"/>
        <rFont val="宋体"/>
        <family val="3"/>
        <charset val="134"/>
      </rPr>
      <t>2</t>
    </r>
    <r>
      <rPr>
        <b/>
        <sz val="12"/>
        <rFont val="宋体"/>
        <family val="3"/>
        <charset val="134"/>
      </rPr>
      <t>）</t>
    </r>
    <phoneticPr fontId="2" type="noConversion"/>
  </si>
  <si>
    <r>
      <t>门、</t>
    </r>
    <r>
      <rPr>
        <sz val="12"/>
        <rFont val="宋体"/>
        <family val="3"/>
        <charset val="134"/>
      </rPr>
      <t>窗</t>
    </r>
    <r>
      <rPr>
        <sz val="12"/>
        <rFont val="宋体"/>
        <family val="3"/>
        <charset val="134"/>
      </rPr>
      <t>S</t>
    </r>
    <r>
      <rPr>
        <vertAlign val="subscript"/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：</t>
    </r>
    <phoneticPr fontId="2" type="noConversion"/>
  </si>
  <si>
    <r>
      <t>门、</t>
    </r>
    <r>
      <rPr>
        <sz val="12"/>
        <rFont val="宋体"/>
        <family val="3"/>
        <charset val="134"/>
      </rPr>
      <t>窗</t>
    </r>
    <r>
      <rPr>
        <sz val="12"/>
        <rFont val="宋体"/>
        <family val="3"/>
        <charset val="134"/>
      </rPr>
      <t>S</t>
    </r>
    <r>
      <rPr>
        <vertAlign val="sub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：</t>
    </r>
    <phoneticPr fontId="2" type="noConversion"/>
  </si>
  <si>
    <r>
      <t>门、</t>
    </r>
    <r>
      <rPr>
        <sz val="12"/>
        <rFont val="宋体"/>
        <family val="3"/>
        <charset val="134"/>
      </rPr>
      <t>窗</t>
    </r>
    <r>
      <rPr>
        <sz val="12"/>
        <rFont val="宋体"/>
        <family val="3"/>
        <charset val="134"/>
      </rPr>
      <t>S</t>
    </r>
    <r>
      <rPr>
        <vertAlign val="sub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  <phoneticPr fontId="2" type="noConversion"/>
  </si>
  <si>
    <t>门1在土建墙在面积：</t>
    <phoneticPr fontId="2" type="noConversion"/>
  </si>
  <si>
    <t>门2在土建墙在面积：</t>
    <phoneticPr fontId="2" type="noConversion"/>
  </si>
  <si>
    <t>门3在土建墙在面积：</t>
    <phoneticPr fontId="2" type="noConversion"/>
  </si>
  <si>
    <t>其它门在土建墙在面积：</t>
    <phoneticPr fontId="2" type="noConversion"/>
  </si>
  <si>
    <t>所有窗面积：</t>
    <phoneticPr fontId="2" type="noConversion"/>
  </si>
  <si>
    <t>同一种门面积：</t>
    <phoneticPr fontId="2" type="noConversion"/>
  </si>
  <si>
    <t>墙 面 构 件 面 积 等 计 算（规则对称屋面）</t>
    <phoneticPr fontId="2" type="noConversion"/>
  </si>
  <si>
    <r>
      <t>窗</t>
    </r>
    <r>
      <rPr>
        <sz val="12"/>
        <rFont val="宋体"/>
        <family val="3"/>
        <charset val="134"/>
      </rPr>
      <t>S</t>
    </r>
    <r>
      <rPr>
        <vertAlign val="subscript"/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：</t>
    </r>
    <phoneticPr fontId="2" type="noConversion"/>
  </si>
  <si>
    <r>
      <t>窗</t>
    </r>
    <r>
      <rPr>
        <sz val="12"/>
        <rFont val="宋体"/>
        <family val="3"/>
        <charset val="134"/>
      </rPr>
      <t>S</t>
    </r>
    <r>
      <rPr>
        <vertAlign val="sub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：</t>
    </r>
    <phoneticPr fontId="2" type="noConversion"/>
  </si>
  <si>
    <r>
      <t>窗</t>
    </r>
    <r>
      <rPr>
        <sz val="12"/>
        <rFont val="宋体"/>
        <family val="3"/>
        <charset val="134"/>
      </rPr>
      <t>S</t>
    </r>
    <r>
      <rPr>
        <vertAlign val="sub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  <phoneticPr fontId="2" type="noConversion"/>
  </si>
  <si>
    <t>檐墙宽度：</t>
    <phoneticPr fontId="2" type="noConversion"/>
  </si>
  <si>
    <r>
      <t>（m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</t>
    </r>
    <phoneticPr fontId="2" type="noConversion"/>
  </si>
  <si>
    <t>（m）</t>
    <phoneticPr fontId="2" type="noConversion"/>
  </si>
  <si>
    <t>彩钢板有效宽度及型号：</t>
  </si>
  <si>
    <t>彩钢板有效宽度及型号：</t>
    <phoneticPr fontId="2" type="noConversion"/>
  </si>
  <si>
    <t>高度：</t>
    <phoneticPr fontId="2" type="noConversion"/>
  </si>
  <si>
    <t>面数：</t>
    <phoneticPr fontId="2" type="noConversion"/>
  </si>
  <si>
    <t>山墙宽度：</t>
    <phoneticPr fontId="2" type="noConversion"/>
  </si>
  <si>
    <t>高度：</t>
    <phoneticPr fontId="2" type="noConversion"/>
  </si>
  <si>
    <t>[其它墙面彩板面积计算]</t>
    <phoneticPr fontId="2" type="noConversion"/>
  </si>
  <si>
    <t>宽度：</t>
    <phoneticPr fontId="2" type="noConversion"/>
  </si>
  <si>
    <t>1、</t>
    <phoneticPr fontId="2" type="noConversion"/>
  </si>
  <si>
    <t>2、</t>
    <phoneticPr fontId="2" type="noConversion"/>
  </si>
  <si>
    <t>3、</t>
    <phoneticPr fontId="2" type="noConversion"/>
  </si>
  <si>
    <t>墙面彩钢板总预算面积为：</t>
    <phoneticPr fontId="2" type="noConversion"/>
  </si>
  <si>
    <r>
      <t>窗面积计算：</t>
    </r>
    <r>
      <rPr>
        <sz val="12"/>
        <rFont val="宋体"/>
        <family val="3"/>
        <charset val="134"/>
      </rPr>
      <t xml:space="preserve">         宽</t>
    </r>
    <phoneticPr fontId="2" type="noConversion"/>
  </si>
  <si>
    <r>
      <t>门面积计算：</t>
    </r>
    <r>
      <rPr>
        <sz val="12"/>
        <rFont val="宋体"/>
        <family val="3"/>
        <charset val="134"/>
      </rPr>
      <t xml:space="preserve">         宽</t>
    </r>
    <phoneticPr fontId="2" type="noConversion"/>
  </si>
  <si>
    <t>檐墙面积：</t>
    <phoneticPr fontId="2" type="noConversion"/>
  </si>
  <si>
    <t>山墙面积：</t>
    <phoneticPr fontId="2" type="noConversion"/>
  </si>
  <si>
    <t>[檐墙面积计算]</t>
    <phoneticPr fontId="2" type="noConversion"/>
  </si>
  <si>
    <t>[山墙面积计算]</t>
    <phoneticPr fontId="2" type="noConversion"/>
  </si>
  <si>
    <t>其它墙面彩钢板面积：</t>
    <phoneticPr fontId="2" type="noConversion"/>
  </si>
  <si>
    <r>
      <t>（m</t>
    </r>
    <r>
      <rPr>
        <b/>
        <vertAlign val="superscript"/>
        <sz val="12"/>
        <rFont val="宋体"/>
        <family val="3"/>
        <charset val="134"/>
      </rPr>
      <t>2</t>
    </r>
    <r>
      <rPr>
        <b/>
        <sz val="12"/>
        <rFont val="宋体"/>
        <family val="3"/>
        <charset val="134"/>
      </rPr>
      <t>）</t>
    </r>
    <phoneticPr fontId="2" type="noConversion"/>
  </si>
  <si>
    <r>
      <t>（m</t>
    </r>
    <r>
      <rPr>
        <vertAlign val="superscript"/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</t>
    </r>
    <phoneticPr fontId="2" type="noConversion"/>
  </si>
  <si>
    <t>屋 面 彩 钢 板 计 算（无阳光板屋面）</t>
    <phoneticPr fontId="2" type="noConversion"/>
  </si>
  <si>
    <t>墙面彩钢板面积计算：</t>
    <phoneticPr fontId="2" type="noConversion"/>
  </si>
  <si>
    <t>（此种情况多为女儿墙背面彩钢板）</t>
    <phoneticPr fontId="2" type="noConversion"/>
  </si>
  <si>
    <t>车标准限载：</t>
    <phoneticPr fontId="2" type="noConversion"/>
  </si>
  <si>
    <t>T/车</t>
    <phoneticPr fontId="2" type="noConversion"/>
  </si>
  <si>
    <t>需要：</t>
    <phoneticPr fontId="2" type="noConversion"/>
  </si>
  <si>
    <t>则，</t>
    <phoneticPr fontId="2" type="noConversion"/>
  </si>
  <si>
    <t>标准计算需要：</t>
    <phoneticPr fontId="2" type="noConversion"/>
  </si>
  <si>
    <t>车(预算需要)</t>
    <phoneticPr fontId="2" type="noConversion"/>
  </si>
  <si>
    <t>车（实际需要）</t>
    <phoneticPr fontId="2" type="noConversion"/>
  </si>
  <si>
    <t>钢结构部分总重量：</t>
    <phoneticPr fontId="2" type="noConversion"/>
  </si>
  <si>
    <t>彩钢板部分总重量：</t>
    <phoneticPr fontId="2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</si>
  <si>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T</t>
    </r>
    <phoneticPr fontId="2" type="noConversion"/>
  </si>
  <si>
    <t>吨 位 换 算 车 次</t>
    <phoneticPr fontId="2" type="noConversion"/>
  </si>
  <si>
    <r>
      <t>若考虑每车都可以有不超过</t>
    </r>
    <r>
      <rPr>
        <b/>
        <sz val="12"/>
        <rFont val="宋体"/>
        <family val="3"/>
        <charset val="134"/>
      </rPr>
      <t>20%</t>
    </r>
    <r>
      <rPr>
        <sz val="12"/>
        <rFont val="宋体"/>
        <family val="3"/>
        <charset val="134"/>
      </rPr>
      <t>的超载：</t>
    </r>
    <phoneticPr fontId="2" type="noConversion"/>
  </si>
  <si>
    <t>折 件 面 积 等 计 算</t>
    <phoneticPr fontId="2" type="noConversion"/>
  </si>
  <si>
    <t>折件1：</t>
    <phoneticPr fontId="2" type="noConversion"/>
  </si>
  <si>
    <t>折件2：</t>
    <phoneticPr fontId="2" type="noConversion"/>
  </si>
  <si>
    <t>折件3：</t>
    <phoneticPr fontId="2" type="noConversion"/>
  </si>
  <si>
    <t>折件4：</t>
    <phoneticPr fontId="2" type="noConversion"/>
  </si>
  <si>
    <t>其它折件面积：</t>
    <phoneticPr fontId="2" type="noConversion"/>
  </si>
  <si>
    <t>折件5：</t>
    <phoneticPr fontId="2" type="noConversion"/>
  </si>
  <si>
    <t>折件6：</t>
    <phoneticPr fontId="2" type="noConversion"/>
  </si>
  <si>
    <t>折件7：</t>
    <phoneticPr fontId="2" type="noConversion"/>
  </si>
  <si>
    <t>折件面积：</t>
    <phoneticPr fontId="2" type="noConversion"/>
  </si>
  <si>
    <t>折件总预算面积：</t>
    <phoneticPr fontId="2" type="noConversion"/>
  </si>
  <si>
    <t>m  展开有效宽度：</t>
    <phoneticPr fontId="2" type="noConversion"/>
  </si>
  <si>
    <t>mm   损耗系数：</t>
    <phoneticPr fontId="2" type="noConversion"/>
  </si>
  <si>
    <r>
      <t>数量n</t>
    </r>
    <r>
      <rPr>
        <sz val="12"/>
        <rFont val="宋体"/>
        <family val="3"/>
        <charset val="134"/>
      </rPr>
      <t>：</t>
    </r>
    <phoneticPr fontId="2" type="noConversion"/>
  </si>
  <si>
    <t>(块)</t>
    <phoneticPr fontId="2" type="noConversion"/>
  </si>
  <si>
    <t>长度a：</t>
    <phoneticPr fontId="2" type="noConversion"/>
  </si>
  <si>
    <t>宽度b：</t>
    <phoneticPr fontId="2" type="noConversion"/>
  </si>
  <si>
    <r>
      <t>厚度t</t>
    </r>
    <r>
      <rPr>
        <sz val="12"/>
        <rFont val="宋体"/>
        <family val="3"/>
        <charset val="134"/>
      </rPr>
      <t>：</t>
    </r>
    <phoneticPr fontId="2" type="noConversion"/>
  </si>
  <si>
    <t>说明：实际中一车运多少构件受到多种因素影响，并不只有重量，此公式仅供参考！</t>
    <phoneticPr fontId="2" type="noConversion"/>
  </si>
  <si>
    <r>
      <t>型钢重量计算（</t>
    </r>
    <r>
      <rPr>
        <b/>
        <sz val="12"/>
        <color indexed="9"/>
        <rFont val="宋体"/>
        <family val="3"/>
        <charset val="134"/>
      </rPr>
      <t>―</t>
    </r>
    <r>
      <rPr>
        <sz val="12"/>
        <color indexed="9"/>
        <rFont val="宋体"/>
        <family val="3"/>
        <charset val="134"/>
      </rPr>
      <t>a×b×t）</t>
    </r>
    <phoneticPr fontId="2" type="noConversion"/>
  </si>
  <si>
    <t>每米重量b：</t>
    <phoneticPr fontId="2" type="noConversion"/>
  </si>
  <si>
    <t>(m)</t>
    <phoneticPr fontId="2" type="noConversion"/>
  </si>
  <si>
    <t>勾：</t>
    <phoneticPr fontId="2" type="noConversion"/>
  </si>
  <si>
    <r>
      <t>股</t>
    </r>
    <r>
      <rPr>
        <sz val="12"/>
        <rFont val="宋体"/>
        <family val="3"/>
        <charset val="134"/>
      </rPr>
      <t>：</t>
    </r>
    <phoneticPr fontId="2" type="noConversion"/>
  </si>
  <si>
    <t>弦：</t>
    <phoneticPr fontId="2" type="noConversion"/>
  </si>
  <si>
    <t>勾股定理计算公式</t>
    <phoneticPr fontId="2" type="noConversion"/>
  </si>
  <si>
    <t>理论重量（G）</t>
    <phoneticPr fontId="2" type="noConversion"/>
  </si>
  <si>
    <t>重量（G）</t>
    <phoneticPr fontId="2" type="noConversion"/>
  </si>
  <si>
    <t>墙面彩钢板折减系数为：</t>
    <phoneticPr fontId="2" type="noConversion"/>
  </si>
  <si>
    <r>
      <t>折减系数</t>
    </r>
    <r>
      <rPr>
        <sz val="12"/>
        <rFont val="宋体"/>
        <family val="3"/>
        <charset val="134"/>
      </rPr>
      <t>：</t>
    </r>
    <phoneticPr fontId="2" type="noConversion"/>
  </si>
  <si>
    <t>(kg/m)</t>
    <phoneticPr fontId="2" type="noConversion"/>
  </si>
  <si>
    <t>长度：</t>
    <phoneticPr fontId="2" type="noConversion"/>
  </si>
  <si>
    <t>条数：</t>
    <phoneticPr fontId="2" type="noConversion"/>
  </si>
  <si>
    <t>IX=</t>
    <phoneticPr fontId="2" type="noConversion"/>
  </si>
  <si>
    <t>Y2=</t>
    <phoneticPr fontId="2" type="noConversion"/>
  </si>
  <si>
    <t>C27-Y2=</t>
    <phoneticPr fontId="2" type="noConversion"/>
  </si>
  <si>
    <r>
      <t>(</t>
    </r>
    <r>
      <rPr>
        <b/>
        <sz val="12"/>
        <rFont val="Times New Roman"/>
        <family val="1"/>
      </rPr>
      <t>"12"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"</t>
    </r>
    <r>
      <rPr>
        <b/>
        <sz val="12"/>
        <rFont val="Times New Roman"/>
        <family val="1"/>
      </rPr>
      <t>16</t>
    </r>
    <r>
      <rPr>
        <sz val="12"/>
        <rFont val="Times New Roman"/>
        <family val="1"/>
      </rPr>
      <t>"</t>
    </r>
    <r>
      <rPr>
        <sz val="12"/>
        <rFont val="宋体"/>
        <family val="3"/>
        <charset val="134"/>
      </rPr>
      <t>或</t>
    </r>
    <r>
      <rPr>
        <sz val="12"/>
        <rFont val="Times New Roman"/>
        <family val="1"/>
      </rPr>
      <t>"</t>
    </r>
    <r>
      <rPr>
        <b/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"）</t>
    </r>
    <phoneticPr fontId="2" type="noConversion"/>
  </si>
  <si>
    <t>要求丝口≥：</t>
    <phoneticPr fontId="2" type="noConversion"/>
  </si>
  <si>
    <t>注意：以下各公式黑色部分为公式，不可修改，不要填入数值，否则会造成错误，无法真确使用，白色框为输入数据框。</t>
    <phoneticPr fontId="2" type="noConversion"/>
  </si>
  <si>
    <t>说明：M12×35普通螺栓在书中没有这种规格，但工程中常常用到，所以此处有这种规格。</t>
    <phoneticPr fontId="2" type="noConversion"/>
  </si>
  <si>
    <r>
      <t>二、常用大六角高强螺栓</t>
    </r>
    <r>
      <rPr>
        <b/>
        <sz val="12"/>
        <color indexed="9"/>
        <rFont val="Times New Roman"/>
        <family val="1"/>
      </rPr>
      <t>(10.9S)</t>
    </r>
    <phoneticPr fontId="2" type="noConversion"/>
  </si>
  <si>
    <r>
      <t>三、常用扭剪型高强螺栓</t>
    </r>
    <r>
      <rPr>
        <b/>
        <sz val="12"/>
        <color indexed="9"/>
        <rFont val="Times New Roman"/>
        <family val="1"/>
      </rPr>
      <t>(10.9S)</t>
    </r>
    <phoneticPr fontId="2" type="noConversion"/>
  </si>
  <si>
    <r>
      <t>一、常用</t>
    </r>
    <r>
      <rPr>
        <b/>
        <sz val="12"/>
        <color indexed="9"/>
        <rFont val="宋体"/>
        <family val="3"/>
        <charset val="134"/>
      </rPr>
      <t>普通螺栓</t>
    </r>
    <phoneticPr fontId="2" type="noConversion"/>
  </si>
  <si>
    <t xml:space="preserve">                                          </t>
    <phoneticPr fontId="2" type="noConversion"/>
  </si>
  <si>
    <t xml:space="preserve">          </t>
    <phoneticPr fontId="2" type="noConversion"/>
  </si>
  <si>
    <t xml:space="preserve">                                                               </t>
    <phoneticPr fontId="2" type="noConversion"/>
  </si>
  <si>
    <t>若为不对称屋面，则面积计算入下：(请安顺序填写，第一个不能为空)</t>
    <phoneticPr fontId="2" type="noConversion"/>
  </si>
  <si>
    <t>门在土建墙下面积：</t>
    <phoneticPr fontId="2" type="noConversion"/>
  </si>
  <si>
    <r>
      <t>计算规格：</t>
    </r>
    <r>
      <rPr>
        <b/>
        <sz val="12"/>
        <color indexed="8"/>
        <rFont val="宋体"/>
        <family val="3"/>
        <charset val="134"/>
      </rPr>
      <t>HN（H×b×t</t>
    </r>
    <r>
      <rPr>
        <b/>
        <vertAlign val="subscript"/>
        <sz val="12"/>
        <color indexed="8"/>
        <rFont val="宋体"/>
        <family val="3"/>
        <charset val="134"/>
      </rPr>
      <t>w</t>
    </r>
    <r>
      <rPr>
        <b/>
        <sz val="12"/>
        <color indexed="8"/>
        <rFont val="宋体"/>
        <family val="3"/>
        <charset val="134"/>
      </rPr>
      <t>×t）</t>
    </r>
    <phoneticPr fontId="2" type="noConversion"/>
  </si>
  <si>
    <r>
      <t>计算规格：</t>
    </r>
    <r>
      <rPr>
        <b/>
        <sz val="12"/>
        <color indexed="8"/>
        <rFont val="宋体"/>
        <family val="3"/>
        <charset val="134"/>
      </rPr>
      <t>HM（H×b×t</t>
    </r>
    <r>
      <rPr>
        <b/>
        <vertAlign val="subscript"/>
        <sz val="12"/>
        <color indexed="8"/>
        <rFont val="宋体"/>
        <family val="3"/>
        <charset val="134"/>
      </rPr>
      <t>w</t>
    </r>
    <r>
      <rPr>
        <b/>
        <sz val="12"/>
        <color indexed="8"/>
        <rFont val="宋体"/>
        <family val="3"/>
        <charset val="134"/>
      </rPr>
      <t>×t）</t>
    </r>
    <phoneticPr fontId="2" type="noConversion"/>
  </si>
  <si>
    <t>根据中国标准热轧H型钢（GB/T 11263-1998）设计，请根据型号选择公式</t>
    <phoneticPr fontId="2" type="noConversion"/>
  </si>
  <si>
    <t>热轧（窄）翼缘H型钢单重计算</t>
    <phoneticPr fontId="2" type="noConversion"/>
  </si>
  <si>
    <t>热轧（中）翼缘H型钢单重计算</t>
    <phoneticPr fontId="2" type="noConversion"/>
  </si>
  <si>
    <t>热轧（宽）翼缘H型钢单重计算</t>
    <phoneticPr fontId="2" type="noConversion"/>
  </si>
  <si>
    <r>
      <t>计算规格：</t>
    </r>
    <r>
      <rPr>
        <b/>
        <sz val="12"/>
        <color indexed="8"/>
        <rFont val="宋体"/>
        <family val="3"/>
        <charset val="134"/>
      </rPr>
      <t>HW（H×b×t</t>
    </r>
    <r>
      <rPr>
        <b/>
        <vertAlign val="subscript"/>
        <sz val="12"/>
        <color indexed="8"/>
        <rFont val="宋体"/>
        <family val="3"/>
        <charset val="134"/>
      </rPr>
      <t>w</t>
    </r>
    <r>
      <rPr>
        <b/>
        <sz val="12"/>
        <color indexed="8"/>
        <rFont val="宋体"/>
        <family val="3"/>
        <charset val="134"/>
      </rPr>
      <t>×t）</t>
    </r>
    <phoneticPr fontId="2" type="noConversion"/>
  </si>
  <si>
    <t>纹高：</t>
    <phoneticPr fontId="2" type="noConversion"/>
  </si>
  <si>
    <t>基本厚度：</t>
    <phoneticPr fontId="2" type="noConversion"/>
  </si>
  <si>
    <t>单位重量：</t>
    <phoneticPr fontId="2" type="noConversion"/>
  </si>
  <si>
    <t>宽：</t>
    <phoneticPr fontId="2" type="noConversion"/>
  </si>
  <si>
    <t>m</t>
    <phoneticPr fontId="2" type="noConversion"/>
  </si>
  <si>
    <t>数量：</t>
    <phoneticPr fontId="2" type="noConversion"/>
  </si>
  <si>
    <t>张</t>
    <phoneticPr fontId="2" type="noConversion"/>
  </si>
  <si>
    <r>
      <t>kg/m</t>
    </r>
    <r>
      <rPr>
        <vertAlign val="superscript"/>
        <sz val="12"/>
        <rFont val="宋体"/>
        <family val="3"/>
        <charset val="134"/>
      </rPr>
      <t>2</t>
    </r>
    <phoneticPr fontId="2" type="noConversion"/>
  </si>
  <si>
    <t>kg</t>
    <phoneticPr fontId="2" type="noConversion"/>
  </si>
  <si>
    <t>折合重量：</t>
    <phoneticPr fontId="2" type="noConversion"/>
  </si>
  <si>
    <t>面积：</t>
    <phoneticPr fontId="2" type="noConversion"/>
  </si>
  <si>
    <r>
      <t>m</t>
    </r>
    <r>
      <rPr>
        <vertAlign val="superscript"/>
        <sz val="12"/>
        <rFont val="宋体"/>
        <family val="3"/>
        <charset val="134"/>
      </rPr>
      <t>2</t>
    </r>
    <phoneticPr fontId="2" type="noConversion"/>
  </si>
  <si>
    <t>长：</t>
    <phoneticPr fontId="2" type="noConversion"/>
  </si>
  <si>
    <t>折合吨位：</t>
    <phoneticPr fontId="2" type="noConversion"/>
  </si>
  <si>
    <t>T</t>
    <phoneticPr fontId="2" type="noConversion"/>
  </si>
  <si>
    <t>计算：</t>
    <phoneticPr fontId="2" type="noConversion"/>
  </si>
  <si>
    <t>花纹钢板重量计算查询（按GB 3277-82）</t>
    <phoneticPr fontId="2" type="noConversion"/>
  </si>
  <si>
    <t>钢卷每吨成本价格：</t>
    <phoneticPr fontId="2" type="noConversion"/>
  </si>
  <si>
    <r>
      <t xml:space="preserve">屋面相同斜坡数 </t>
    </r>
    <r>
      <rPr>
        <b/>
        <sz val="12"/>
        <rFont val="宋体"/>
        <family val="3"/>
        <charset val="134"/>
      </rPr>
      <t>n</t>
    </r>
    <r>
      <rPr>
        <sz val="12"/>
        <rFont val="宋体"/>
        <family val="3"/>
        <charset val="134"/>
      </rPr>
      <t>：</t>
    </r>
    <phoneticPr fontId="2" type="noConversion"/>
  </si>
  <si>
    <r>
      <t xml:space="preserve">给定长度型钢表面积计算（防火涂料面积计算用）     </t>
    </r>
    <r>
      <rPr>
        <b/>
        <sz val="12"/>
        <color indexed="48"/>
        <rFont val="宋体"/>
        <family val="3"/>
        <charset val="134"/>
      </rPr>
      <t xml:space="preserve">   QQ:17988784   陈欢庆</t>
    </r>
    <phoneticPr fontId="2" type="noConversion"/>
  </si>
  <si>
    <t>长度L：</t>
    <phoneticPr fontId="2" type="noConversion"/>
  </si>
  <si>
    <t>m</t>
    <phoneticPr fontId="2" type="noConversion"/>
  </si>
  <si>
    <t>数量n：</t>
    <phoneticPr fontId="2" type="noConversion"/>
  </si>
  <si>
    <t>H型钢：</t>
    <phoneticPr fontId="2" type="noConversion"/>
  </si>
  <si>
    <t>H</t>
    <phoneticPr fontId="2" type="noConversion"/>
  </si>
  <si>
    <t>×</t>
    <phoneticPr fontId="2" type="noConversion"/>
  </si>
  <si>
    <t>使用说明：</t>
    <phoneticPr fontId="2" type="noConversion"/>
  </si>
  <si>
    <t>吊车梁：</t>
    <phoneticPr fontId="2" type="noConversion"/>
  </si>
  <si>
    <t xml:space="preserve">  ×  </t>
    <phoneticPr fontId="2" type="noConversion"/>
  </si>
  <si>
    <t>(</t>
    <phoneticPr fontId="2" type="noConversion"/>
  </si>
  <si>
    <t>)</t>
    <phoneticPr fontId="2" type="noConversion"/>
  </si>
  <si>
    <t>C(Z)型钢：</t>
    <phoneticPr fontId="2" type="noConversion"/>
  </si>
  <si>
    <t>C(Z)</t>
    <phoneticPr fontId="2" type="noConversion"/>
  </si>
  <si>
    <t>圆钢（管）：</t>
    <phoneticPr fontId="2" type="noConversion"/>
  </si>
  <si>
    <t>外直径D =</t>
    <phoneticPr fontId="2" type="noConversion"/>
  </si>
  <si>
    <t>角钢：</t>
    <phoneticPr fontId="2" type="noConversion"/>
  </si>
  <si>
    <t>L</t>
    <phoneticPr fontId="2" type="noConversion"/>
  </si>
  <si>
    <t>钢板：</t>
    <phoneticPr fontId="2" type="noConversion"/>
  </si>
  <si>
    <t>宽度</t>
    <phoneticPr fontId="2" type="noConversion"/>
  </si>
  <si>
    <t>厚度</t>
    <phoneticPr fontId="2" type="noConversion"/>
  </si>
  <si>
    <t>计算结果：</t>
    <phoneticPr fontId="2" type="noConversion"/>
  </si>
  <si>
    <r>
      <t>m</t>
    </r>
    <r>
      <rPr>
        <vertAlign val="superscript"/>
        <sz val="12"/>
        <rFont val="宋体"/>
        <family val="3"/>
        <charset val="134"/>
      </rPr>
      <t>２</t>
    </r>
    <phoneticPr fontId="2" type="noConversion"/>
  </si>
  <si>
    <t>螺旋钢筋计算公式</t>
    <phoneticPr fontId="2" type="noConversion"/>
  </si>
  <si>
    <t>项目名称:</t>
    <phoneticPr fontId="2" type="noConversion"/>
  </si>
  <si>
    <t>使用部位:</t>
    <phoneticPr fontId="2" type="noConversion"/>
  </si>
  <si>
    <t>墩柱</t>
    <phoneticPr fontId="2" type="noConversion"/>
  </si>
  <si>
    <t>序号</t>
    <phoneticPr fontId="2" type="noConversion"/>
  </si>
  <si>
    <t>编号</t>
    <phoneticPr fontId="2" type="noConversion"/>
  </si>
  <si>
    <t>螺旋箍筋直径d(mm)</t>
    <phoneticPr fontId="2" type="noConversion"/>
  </si>
  <si>
    <t>螺旋间距p(mm)</t>
    <phoneticPr fontId="2" type="noConversion"/>
  </si>
  <si>
    <t>螺旋线的缠绕直径D(mm)</t>
    <phoneticPr fontId="2" type="noConversion"/>
  </si>
  <si>
    <t>每1m钢筋骨架长的螺旋箍筋长度I（mm）</t>
    <phoneticPr fontId="2" type="noConversion"/>
  </si>
  <si>
    <t>螺旋箍筋高度（m）</t>
    <phoneticPr fontId="2" type="noConversion"/>
  </si>
  <si>
    <t>单根长(cm)</t>
    <phoneticPr fontId="2" type="noConversion"/>
  </si>
  <si>
    <t>根数</t>
    <phoneticPr fontId="2" type="noConversion"/>
  </si>
  <si>
    <t>共长(m)</t>
    <phoneticPr fontId="2" type="noConversion"/>
  </si>
  <si>
    <t>每延米重量(kg/m)</t>
    <phoneticPr fontId="2" type="noConversion"/>
  </si>
  <si>
    <t>共重(kg)</t>
    <phoneticPr fontId="2" type="noConversion"/>
  </si>
  <si>
    <t>备注</t>
    <phoneticPr fontId="2" type="noConversion"/>
  </si>
  <si>
    <t>N1</t>
    <phoneticPr fontId="2" type="noConversion"/>
  </si>
  <si>
    <t>N2</t>
    <phoneticPr fontId="2" type="noConversion"/>
  </si>
  <si>
    <t>φ</t>
    <phoneticPr fontId="2" type="noConversion"/>
  </si>
  <si>
    <t>合计</t>
    <phoneticPr fontId="2" type="noConversion"/>
  </si>
  <si>
    <t>I级钢筋</t>
    <phoneticPr fontId="2" type="noConversion"/>
  </si>
  <si>
    <t>II级钢筋</t>
    <phoneticPr fontId="2" type="noConversion"/>
  </si>
  <si>
    <t>附注:</t>
    <phoneticPr fontId="2" type="noConversion"/>
  </si>
  <si>
    <t xml:space="preserve">   1、每一米螺旋钢筋长度计算公式：I=1000/p*(SQRT((π*D)^2+p))+π*d/2</t>
    <phoneticPr fontId="2" type="noConversion"/>
  </si>
  <si>
    <t xml:space="preserve">   2、各参数为：I——每1m钢筋骨架长的螺旋箍筋长度（mm）；d——螺旋箍筋的直径(mm)；</t>
    <phoneticPr fontId="2" type="noConversion"/>
  </si>
  <si>
    <t xml:space="preserve">       p——螺距(mm)；D——螺旋线的缠绕直径(mm)；π——3.1416</t>
    <phoneticPr fontId="2" type="noConversion"/>
  </si>
  <si>
    <r>
      <t>注明：螺旋钢筋自动计算公式，只要在上表中</t>
    </r>
    <r>
      <rPr>
        <sz val="10"/>
        <color indexed="15"/>
        <rFont val="宋体"/>
        <family val="3"/>
        <charset val="134"/>
      </rPr>
      <t>黄色格中填入已知条件</t>
    </r>
    <r>
      <rPr>
        <sz val="10"/>
        <rFont val="宋体"/>
        <family val="3"/>
        <charset val="134"/>
      </rPr>
      <t>，</t>
    </r>
    <r>
      <rPr>
        <sz val="10"/>
        <color indexed="14"/>
        <rFont val="宋体"/>
        <family val="3"/>
        <charset val="134"/>
      </rPr>
      <t>粉红色格中自动计算结果</t>
    </r>
    <r>
      <rPr>
        <sz val="10"/>
        <rFont val="宋体"/>
        <family val="3"/>
        <charset val="134"/>
      </rPr>
      <t>，</t>
    </r>
    <r>
      <rPr>
        <sz val="10"/>
        <color indexed="11"/>
        <rFont val="宋体"/>
        <family val="3"/>
        <charset val="134"/>
      </rPr>
      <t>鲜绿色格中也自动汇总。</t>
    </r>
    <phoneticPr fontId="2" type="noConversion"/>
  </si>
  <si>
    <t xml:space="preserve">编制: </t>
    <phoneticPr fontId="2" type="noConversion"/>
  </si>
  <si>
    <t>复核：</t>
    <phoneticPr fontId="2" type="noConversion"/>
  </si>
  <si>
    <t>监理工程师：</t>
    <phoneticPr fontId="2" type="noConversion"/>
  </si>
  <si>
    <t>日期：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</si>
</sst>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0.0_ "/>
  </numFmts>
  <fonts count="37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b/>
      <sz val="12"/>
      <name val="Times New Roman"/>
      <family val="1"/>
    </font>
    <font>
      <sz val="12"/>
      <color indexed="10"/>
      <name val="宋体"/>
      <family val="3"/>
      <charset val="134"/>
    </font>
    <font>
      <b/>
      <vertAlign val="subscript"/>
      <sz val="12"/>
      <name val="宋体"/>
      <family val="3"/>
      <charset val="134"/>
    </font>
    <font>
      <b/>
      <sz val="12"/>
      <color indexed="9"/>
      <name val="Times New Roman"/>
      <family val="1"/>
    </font>
    <font>
      <b/>
      <sz val="12"/>
      <color indexed="9"/>
      <name val="宋体"/>
      <family val="3"/>
      <charset val="134"/>
    </font>
    <font>
      <sz val="12"/>
      <name val="MingLiU"/>
      <family val="3"/>
      <charset val="136"/>
    </font>
    <font>
      <vertAlign val="superscript"/>
      <sz val="12"/>
      <name val="MingLiU"/>
      <family val="3"/>
      <charset val="136"/>
    </font>
    <font>
      <b/>
      <sz val="12"/>
      <color indexed="9"/>
      <name val="华文细黑"/>
      <family val="3"/>
      <charset val="134"/>
    </font>
    <font>
      <vertAlign val="superscript"/>
      <sz val="12"/>
      <name val="宋体"/>
      <family val="3"/>
      <charset val="134"/>
    </font>
    <font>
      <vertAlign val="subscript"/>
      <sz val="12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color indexed="14"/>
      <name val="宋体"/>
      <family val="3"/>
      <charset val="134"/>
    </font>
    <font>
      <b/>
      <vertAlign val="superscript"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vertAlign val="subscript"/>
      <sz val="12"/>
      <color indexed="8"/>
      <name val="宋体"/>
      <family val="3"/>
      <charset val="134"/>
    </font>
    <font>
      <b/>
      <sz val="12"/>
      <color indexed="81"/>
      <name val="宋体"/>
      <family val="3"/>
      <charset val="134"/>
    </font>
    <font>
      <b/>
      <sz val="12"/>
      <name val="黑体"/>
      <family val="3"/>
      <charset val="134"/>
    </font>
    <font>
      <sz val="11"/>
      <name val="宋体"/>
      <family val="3"/>
      <charset val="134"/>
    </font>
    <font>
      <b/>
      <sz val="12"/>
      <color indexed="4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indexed="9"/>
      <name val="宋体"/>
      <family val="3"/>
      <charset val="134"/>
    </font>
    <font>
      <b/>
      <sz val="11"/>
      <name val="宋体"/>
      <family val="3"/>
      <charset val="134"/>
    </font>
    <font>
      <sz val="14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indexed="15"/>
      <name val="宋体"/>
      <family val="3"/>
      <charset val="134"/>
    </font>
    <font>
      <sz val="10"/>
      <color indexed="14"/>
      <name val="宋体"/>
      <family val="3"/>
      <charset val="134"/>
    </font>
    <font>
      <sz val="10"/>
      <color indexed="1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9">
    <xf numFmtId="0" fontId="0" fillId="0" borderId="0" xfId="0"/>
    <xf numFmtId="0" fontId="0" fillId="2" borderId="1" xfId="0" applyFill="1" applyBorder="1"/>
    <xf numFmtId="0" fontId="0" fillId="2" borderId="0" xfId="0" applyFill="1" applyBorder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0" fontId="0" fillId="2" borderId="5" xfId="0" applyFill="1" applyBorder="1" applyAlignment="1">
      <alignment horizontal="right" vertical="center"/>
    </xf>
    <xf numFmtId="0" fontId="0" fillId="3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10" fillId="4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177" fontId="10" fillId="4" borderId="0" xfId="0" applyNumberFormat="1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176" fontId="5" fillId="4" borderId="4" xfId="0" applyNumberFormat="1" applyFont="1" applyFill="1" applyBorder="1" applyAlignment="1">
      <alignment vertical="center"/>
    </xf>
    <xf numFmtId="176" fontId="5" fillId="4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8" fontId="5" fillId="4" borderId="0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8" xfId="0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0" fillId="4" borderId="0" xfId="0" applyFont="1" applyFill="1" applyAlignment="1">
      <alignment vertical="center"/>
    </xf>
    <xf numFmtId="177" fontId="10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177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176" fontId="10" fillId="4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78" fontId="10" fillId="4" borderId="4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76" fontId="16" fillId="4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178" fontId="10" fillId="4" borderId="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2" borderId="0" xfId="0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/>
    <xf numFmtId="0" fontId="1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0" xfId="0" applyFill="1"/>
    <xf numFmtId="0" fontId="5" fillId="2" borderId="5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8" fontId="5" fillId="4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0" fillId="6" borderId="5" xfId="0" applyFont="1" applyFill="1" applyBorder="1"/>
    <xf numFmtId="0" fontId="10" fillId="6" borderId="0" xfId="0" applyFont="1" applyFill="1" applyBorder="1"/>
    <xf numFmtId="0" fontId="10" fillId="6" borderId="6" xfId="0" applyFont="1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6" xfId="0" applyFill="1" applyBorder="1"/>
    <xf numFmtId="0" fontId="29" fillId="6" borderId="0" xfId="0" applyFont="1" applyFill="1" applyBorder="1"/>
    <xf numFmtId="0" fontId="4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/>
    <xf numFmtId="0" fontId="33" fillId="7" borderId="4" xfId="0" applyFont="1" applyFill="1" applyBorder="1" applyAlignment="1">
      <alignment horizontal="center" vertical="center"/>
    </xf>
    <xf numFmtId="0" fontId="33" fillId="7" borderId="23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/>
    </xf>
    <xf numFmtId="0" fontId="32" fillId="8" borderId="24" xfId="0" applyFont="1" applyFill="1" applyBorder="1" applyAlignment="1">
      <alignment horizontal="center" vertical="center"/>
    </xf>
    <xf numFmtId="0" fontId="32" fillId="8" borderId="22" xfId="0" applyFont="1" applyFill="1" applyBorder="1" applyAlignment="1">
      <alignment horizontal="center" vertical="center"/>
    </xf>
    <xf numFmtId="0" fontId="32" fillId="8" borderId="23" xfId="0" applyFont="1" applyFill="1" applyBorder="1" applyAlignment="1">
      <alignment horizontal="left" vertical="center"/>
    </xf>
    <xf numFmtId="0" fontId="32" fillId="8" borderId="23" xfId="0" applyFont="1" applyFill="1" applyBorder="1" applyAlignment="1">
      <alignment horizontal="center" vertical="center"/>
    </xf>
    <xf numFmtId="0" fontId="32" fillId="9" borderId="23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2" fillId="11" borderId="9" xfId="0" applyFont="1" applyFill="1" applyBorder="1"/>
    <xf numFmtId="0" fontId="0" fillId="11" borderId="10" xfId="0" applyFill="1" applyBorder="1"/>
    <xf numFmtId="0" fontId="0" fillId="11" borderId="11" xfId="0" applyFill="1" applyBorder="1"/>
    <xf numFmtId="0" fontId="32" fillId="11" borderId="8" xfId="0" applyFont="1" applyFill="1" applyBorder="1"/>
    <xf numFmtId="0" fontId="32" fillId="11" borderId="0" xfId="0" applyFont="1" applyFill="1" applyBorder="1"/>
    <xf numFmtId="0" fontId="0" fillId="11" borderId="0" xfId="0" applyFill="1" applyBorder="1"/>
    <xf numFmtId="0" fontId="0" fillId="11" borderId="12" xfId="0" applyFill="1" applyBorder="1"/>
    <xf numFmtId="0" fontId="32" fillId="11" borderId="13" xfId="0" applyFont="1" applyFill="1" applyBorder="1"/>
    <xf numFmtId="0" fontId="32" fillId="11" borderId="14" xfId="0" applyFont="1" applyFill="1" applyBorder="1"/>
    <xf numFmtId="0" fontId="0" fillId="11" borderId="14" xfId="0" applyFill="1" applyBorder="1"/>
    <xf numFmtId="0" fontId="0" fillId="11" borderId="15" xfId="0" applyFill="1" applyBorder="1"/>
    <xf numFmtId="0" fontId="25" fillId="0" borderId="0" xfId="0" applyFont="1"/>
    <xf numFmtId="0" fontId="2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7" fillId="4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2" borderId="5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0" fontId="10" fillId="5" borderId="16" xfId="0" applyFont="1" applyFill="1" applyBorder="1"/>
    <xf numFmtId="0" fontId="10" fillId="5" borderId="17" xfId="0" applyFont="1" applyFill="1" applyBorder="1"/>
    <xf numFmtId="0" fontId="10" fillId="5" borderId="7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178" fontId="10" fillId="4" borderId="22" xfId="0" applyNumberFormat="1" applyFont="1" applyFill="1" applyBorder="1" applyAlignment="1">
      <alignment vertical="center"/>
    </xf>
    <xf numFmtId="178" fontId="10" fillId="4" borderId="23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13" fillId="5" borderId="9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/>
    </xf>
    <xf numFmtId="0" fontId="13" fillId="5" borderId="11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0" fillId="4" borderId="22" xfId="0" applyFont="1" applyFill="1" applyBorder="1" applyAlignment="1">
      <alignment vertical="center"/>
    </xf>
    <xf numFmtId="0" fontId="10" fillId="4" borderId="23" xfId="0" applyFont="1" applyFill="1" applyBorder="1" applyAlignment="1">
      <alignment vertical="center"/>
    </xf>
    <xf numFmtId="0" fontId="0" fillId="2" borderId="8" xfId="0" applyFill="1" applyBorder="1" applyAlignment="1">
      <alignment horizontal="right" vertical="center"/>
    </xf>
    <xf numFmtId="0" fontId="13" fillId="5" borderId="16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3" fillId="5" borderId="25" xfId="0" applyFont="1" applyFill="1" applyBorder="1" applyAlignment="1">
      <alignment horizontal="left" vertical="center"/>
    </xf>
    <xf numFmtId="0" fontId="13" fillId="5" borderId="26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3" fillId="5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right" vertical="center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10" fillId="9" borderId="5" xfId="0" applyFont="1" applyFill="1" applyBorder="1" applyAlignment="1">
      <alignment vertical="center"/>
    </xf>
    <xf numFmtId="0" fontId="10" fillId="9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6" fontId="5" fillId="4" borderId="0" xfId="0" applyNumberFormat="1" applyFont="1" applyFill="1" applyBorder="1" applyAlignment="1">
      <alignment vertical="center"/>
    </xf>
    <xf numFmtId="178" fontId="10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2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2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10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178" fontId="5" fillId="4" borderId="0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0" fillId="12" borderId="29" xfId="0" applyFont="1" applyFill="1" applyBorder="1"/>
    <xf numFmtId="0" fontId="10" fillId="12" borderId="30" xfId="0" applyFont="1" applyFill="1" applyBorder="1"/>
    <xf numFmtId="0" fontId="10" fillId="12" borderId="31" xfId="0" applyFont="1" applyFill="1" applyBorder="1"/>
    <xf numFmtId="0" fontId="21" fillId="6" borderId="0" xfId="0" applyFont="1" applyFill="1" applyBorder="1" applyAlignment="1">
      <alignment horizontal="right" vertical="center"/>
    </xf>
    <xf numFmtId="0" fontId="21" fillId="6" borderId="12" xfId="0" applyFont="1" applyFill="1" applyBorder="1" applyAlignment="1">
      <alignment horizontal="right" vertical="center"/>
    </xf>
    <xf numFmtId="0" fontId="17" fillId="0" borderId="22" xfId="0" applyFont="1" applyFill="1" applyBorder="1"/>
    <xf numFmtId="0" fontId="17" fillId="0" borderId="28" xfId="0" applyFont="1" applyFill="1" applyBorder="1"/>
    <xf numFmtId="0" fontId="17" fillId="0" borderId="23" xfId="0" applyFont="1" applyFill="1" applyBorder="1"/>
    <xf numFmtId="0" fontId="27" fillId="6" borderId="8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left" vertical="center"/>
    </xf>
    <xf numFmtId="0" fontId="21" fillId="6" borderId="12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29" fillId="6" borderId="0" xfId="0" applyFont="1" applyFill="1" applyBorder="1"/>
    <xf numFmtId="0" fontId="4" fillId="6" borderId="0" xfId="0" applyFont="1" applyFill="1" applyBorder="1"/>
    <xf numFmtId="0" fontId="30" fillId="6" borderId="8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178" fontId="17" fillId="0" borderId="22" xfId="0" applyNumberFormat="1" applyFont="1" applyFill="1" applyBorder="1" applyAlignment="1">
      <alignment horizontal="right" vertical="center"/>
    </xf>
    <xf numFmtId="178" fontId="17" fillId="0" borderId="28" xfId="0" applyNumberFormat="1" applyFont="1" applyFill="1" applyBorder="1" applyAlignment="1">
      <alignment horizontal="right" vertical="center"/>
    </xf>
    <xf numFmtId="178" fontId="17" fillId="0" borderId="23" xfId="0" applyNumberFormat="1" applyFont="1" applyFill="1" applyBorder="1" applyAlignment="1">
      <alignment horizontal="right" vertical="center"/>
    </xf>
    <xf numFmtId="0" fontId="0" fillId="6" borderId="0" xfId="0" applyFill="1" applyBorder="1" applyAlignment="1">
      <alignment horizontal="right" vertical="center"/>
    </xf>
    <xf numFmtId="176" fontId="5" fillId="4" borderId="32" xfId="0" applyNumberFormat="1" applyFont="1" applyFill="1" applyBorder="1" applyAlignment="1">
      <alignment horizontal="center" vertical="center"/>
    </xf>
    <xf numFmtId="176" fontId="5" fillId="4" borderId="34" xfId="0" applyNumberFormat="1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/>
    <xf numFmtId="0" fontId="5" fillId="4" borderId="32" xfId="0" applyFont="1" applyFill="1" applyBorder="1"/>
    <xf numFmtId="0" fontId="5" fillId="0" borderId="0" xfId="0" applyFont="1" applyAlignment="1">
      <alignment vertical="center"/>
    </xf>
    <xf numFmtId="0" fontId="31" fillId="13" borderId="0" xfId="0" applyFont="1" applyFill="1" applyAlignment="1">
      <alignment horizontal="center" vertical="center"/>
    </xf>
    <xf numFmtId="0" fontId="33" fillId="7" borderId="22" xfId="0" applyFont="1" applyFill="1" applyBorder="1" applyAlignment="1">
      <alignment horizontal="center" vertical="center" wrapText="1"/>
    </xf>
    <xf numFmtId="0" fontId="33" fillId="7" borderId="23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077" name="Rectangle 1"/>
        <xdr:cNvSpPr>
          <a:spLocks noChangeArrowheads="1"/>
        </xdr:cNvSpPr>
      </xdr:nvSpPr>
      <xdr:spPr bwMode="auto">
        <a:xfrm>
          <a:off x="95250" y="742950"/>
          <a:ext cx="3733800" cy="17811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42</xdr:row>
      <xdr:rowOff>0</xdr:rowOff>
    </xdr:from>
    <xdr:to>
      <xdr:col>4</xdr:col>
      <xdr:colOff>0</xdr:colOff>
      <xdr:row>51</xdr:row>
      <xdr:rowOff>0</xdr:rowOff>
    </xdr:to>
    <xdr:sp macro="" textlink="">
      <xdr:nvSpPr>
        <xdr:cNvPr id="2078" name="Rectangle 3"/>
        <xdr:cNvSpPr>
          <a:spLocks noChangeArrowheads="1"/>
        </xdr:cNvSpPr>
      </xdr:nvSpPr>
      <xdr:spPr bwMode="auto">
        <a:xfrm>
          <a:off x="95250" y="10020300"/>
          <a:ext cx="3733800" cy="20383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52</xdr:row>
      <xdr:rowOff>9525</xdr:rowOff>
    </xdr:from>
    <xdr:to>
      <xdr:col>4</xdr:col>
      <xdr:colOff>9525</xdr:colOff>
      <xdr:row>57</xdr:row>
      <xdr:rowOff>9525</xdr:rowOff>
    </xdr:to>
    <xdr:sp macro="" textlink="">
      <xdr:nvSpPr>
        <xdr:cNvPr id="2079" name="Rectangle 4"/>
        <xdr:cNvSpPr>
          <a:spLocks noChangeArrowheads="1"/>
        </xdr:cNvSpPr>
      </xdr:nvSpPr>
      <xdr:spPr bwMode="auto">
        <a:xfrm>
          <a:off x="95250" y="12315825"/>
          <a:ext cx="3743325" cy="1057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4</xdr:col>
      <xdr:colOff>9525</xdr:colOff>
      <xdr:row>69</xdr:row>
      <xdr:rowOff>0</xdr:rowOff>
    </xdr:to>
    <xdr:sp macro="" textlink="">
      <xdr:nvSpPr>
        <xdr:cNvPr id="2080" name="Rectangle 5"/>
        <xdr:cNvSpPr>
          <a:spLocks noChangeArrowheads="1"/>
        </xdr:cNvSpPr>
      </xdr:nvSpPr>
      <xdr:spPr bwMode="auto">
        <a:xfrm>
          <a:off x="95250" y="15163800"/>
          <a:ext cx="3743325" cy="838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70</xdr:row>
      <xdr:rowOff>0</xdr:rowOff>
    </xdr:from>
    <xdr:to>
      <xdr:col>4</xdr:col>
      <xdr:colOff>0</xdr:colOff>
      <xdr:row>74</xdr:row>
      <xdr:rowOff>238125</xdr:rowOff>
    </xdr:to>
    <xdr:sp macro="" textlink="">
      <xdr:nvSpPr>
        <xdr:cNvPr id="2081" name="Rectangle 6"/>
        <xdr:cNvSpPr>
          <a:spLocks noChangeArrowheads="1"/>
        </xdr:cNvSpPr>
      </xdr:nvSpPr>
      <xdr:spPr bwMode="auto">
        <a:xfrm>
          <a:off x="95250" y="16249650"/>
          <a:ext cx="3733800" cy="12287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58</xdr:row>
      <xdr:rowOff>9525</xdr:rowOff>
    </xdr:from>
    <xdr:to>
      <xdr:col>4</xdr:col>
      <xdr:colOff>9525</xdr:colOff>
      <xdr:row>64</xdr:row>
      <xdr:rowOff>9525</xdr:rowOff>
    </xdr:to>
    <xdr:sp macro="" textlink="">
      <xdr:nvSpPr>
        <xdr:cNvPr id="2082" name="Rectangle 8"/>
        <xdr:cNvSpPr>
          <a:spLocks noChangeArrowheads="1"/>
        </xdr:cNvSpPr>
      </xdr:nvSpPr>
      <xdr:spPr bwMode="auto">
        <a:xfrm>
          <a:off x="95250" y="13620750"/>
          <a:ext cx="3743325" cy="130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8</xdr:col>
      <xdr:colOff>0</xdr:colOff>
      <xdr:row>12</xdr:row>
      <xdr:rowOff>0</xdr:rowOff>
    </xdr:to>
    <xdr:sp macro="" textlink="">
      <xdr:nvSpPr>
        <xdr:cNvPr id="2083" name="Rectangle 14"/>
        <xdr:cNvSpPr>
          <a:spLocks noChangeArrowheads="1"/>
        </xdr:cNvSpPr>
      </xdr:nvSpPr>
      <xdr:spPr bwMode="auto">
        <a:xfrm>
          <a:off x="3924300" y="742950"/>
          <a:ext cx="4238625" cy="2028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0</xdr:colOff>
      <xdr:row>13</xdr:row>
      <xdr:rowOff>0</xdr:rowOff>
    </xdr:from>
    <xdr:to>
      <xdr:col>8</xdr:col>
      <xdr:colOff>0</xdr:colOff>
      <xdr:row>21</xdr:row>
      <xdr:rowOff>0</xdr:rowOff>
    </xdr:to>
    <xdr:sp macro="" textlink="">
      <xdr:nvSpPr>
        <xdr:cNvPr id="2084" name="Rectangle 16"/>
        <xdr:cNvSpPr>
          <a:spLocks noChangeArrowheads="1"/>
        </xdr:cNvSpPr>
      </xdr:nvSpPr>
      <xdr:spPr bwMode="auto">
        <a:xfrm>
          <a:off x="3924300" y="3019425"/>
          <a:ext cx="423862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0</xdr:colOff>
      <xdr:row>33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2085" name="Rectangle 19"/>
        <xdr:cNvSpPr>
          <a:spLocks noChangeArrowheads="1"/>
        </xdr:cNvSpPr>
      </xdr:nvSpPr>
      <xdr:spPr bwMode="auto">
        <a:xfrm>
          <a:off x="3924300" y="7791450"/>
          <a:ext cx="4238625" cy="2228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4</xdr:col>
      <xdr:colOff>0</xdr:colOff>
      <xdr:row>32</xdr:row>
      <xdr:rowOff>0</xdr:rowOff>
    </xdr:to>
    <xdr:sp macro="" textlink="">
      <xdr:nvSpPr>
        <xdr:cNvPr id="2086" name="Rectangle 24"/>
        <xdr:cNvSpPr>
          <a:spLocks noChangeArrowheads="1"/>
        </xdr:cNvSpPr>
      </xdr:nvSpPr>
      <xdr:spPr bwMode="auto">
        <a:xfrm>
          <a:off x="95250" y="5562600"/>
          <a:ext cx="3733800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0</xdr:colOff>
      <xdr:row>24</xdr:row>
      <xdr:rowOff>0</xdr:rowOff>
    </xdr:from>
    <xdr:to>
      <xdr:col>8</xdr:col>
      <xdr:colOff>0</xdr:colOff>
      <xdr:row>32</xdr:row>
      <xdr:rowOff>0</xdr:rowOff>
    </xdr:to>
    <xdr:sp macro="" textlink="">
      <xdr:nvSpPr>
        <xdr:cNvPr id="2087" name="Rectangle 25"/>
        <xdr:cNvSpPr>
          <a:spLocks noChangeArrowheads="1"/>
        </xdr:cNvSpPr>
      </xdr:nvSpPr>
      <xdr:spPr bwMode="auto">
        <a:xfrm>
          <a:off x="3924300" y="5562600"/>
          <a:ext cx="423862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0</xdr:colOff>
      <xdr:row>21</xdr:row>
      <xdr:rowOff>0</xdr:rowOff>
    </xdr:to>
    <xdr:sp macro="" textlink="">
      <xdr:nvSpPr>
        <xdr:cNvPr id="2088" name="Rectangle 26"/>
        <xdr:cNvSpPr>
          <a:spLocks noChangeArrowheads="1"/>
        </xdr:cNvSpPr>
      </xdr:nvSpPr>
      <xdr:spPr bwMode="auto">
        <a:xfrm>
          <a:off x="95250" y="2771775"/>
          <a:ext cx="3733800" cy="2228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33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089" name="Rectangle 28"/>
        <xdr:cNvSpPr>
          <a:spLocks noChangeArrowheads="1"/>
        </xdr:cNvSpPr>
      </xdr:nvSpPr>
      <xdr:spPr bwMode="auto">
        <a:xfrm>
          <a:off x="95250" y="7791450"/>
          <a:ext cx="3733800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6</xdr:col>
      <xdr:colOff>9525</xdr:colOff>
      <xdr:row>16</xdr:row>
      <xdr:rowOff>0</xdr:rowOff>
    </xdr:to>
    <xdr:sp macro="" textlink="">
      <xdr:nvSpPr>
        <xdr:cNvPr id="4108" name="Rectangle 1"/>
        <xdr:cNvSpPr>
          <a:spLocks noChangeArrowheads="1"/>
        </xdr:cNvSpPr>
      </xdr:nvSpPr>
      <xdr:spPr bwMode="auto">
        <a:xfrm>
          <a:off x="123825" y="676275"/>
          <a:ext cx="3314700" cy="2895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12</xdr:col>
      <xdr:colOff>9525</xdr:colOff>
      <xdr:row>16</xdr:row>
      <xdr:rowOff>0</xdr:rowOff>
    </xdr:to>
    <xdr:sp macro="" textlink="">
      <xdr:nvSpPr>
        <xdr:cNvPr id="4109" name="Rectangle 2"/>
        <xdr:cNvSpPr>
          <a:spLocks noChangeArrowheads="1"/>
        </xdr:cNvSpPr>
      </xdr:nvSpPr>
      <xdr:spPr bwMode="auto">
        <a:xfrm>
          <a:off x="3476625" y="676275"/>
          <a:ext cx="3838575" cy="2895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18</xdr:col>
      <xdr:colOff>9525</xdr:colOff>
      <xdr:row>16</xdr:row>
      <xdr:rowOff>0</xdr:rowOff>
    </xdr:to>
    <xdr:sp macro="" textlink="">
      <xdr:nvSpPr>
        <xdr:cNvPr id="4110" name="Rectangle 6"/>
        <xdr:cNvSpPr>
          <a:spLocks noChangeArrowheads="1"/>
        </xdr:cNvSpPr>
      </xdr:nvSpPr>
      <xdr:spPr bwMode="auto">
        <a:xfrm>
          <a:off x="7343775" y="676275"/>
          <a:ext cx="3952875" cy="2895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10</xdr:col>
      <xdr:colOff>464820</xdr:colOff>
      <xdr:row>6</xdr:row>
      <xdr:rowOff>144780</xdr:rowOff>
    </xdr:from>
    <xdr:to>
      <xdr:col>11</xdr:col>
      <xdr:colOff>982980</xdr:colOff>
      <xdr:row>10</xdr:row>
      <xdr:rowOff>121920</xdr:rowOff>
    </xdr:to>
    <xdr:sp macro="" textlink="">
      <xdr:nvSpPr>
        <xdr:cNvPr id="4104" name="Text Box 8"/>
        <xdr:cNvSpPr txBox="1">
          <a:spLocks noChangeArrowheads="1"/>
        </xdr:cNvSpPr>
      </xdr:nvSpPr>
      <xdr:spPr bwMode="auto">
        <a:xfrm>
          <a:off x="5920740" y="1584960"/>
          <a:ext cx="1295400" cy="982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可计算的螺栓型号有： M16、M20、M22、M24。填入无效数时公式将不计算。欢迎使用！</a:t>
          </a:r>
        </a:p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 </a:t>
          </a:r>
        </a:p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  </a:t>
          </a:r>
        </a:p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  </a:t>
          </a:r>
        </a:p>
        <a:p>
          <a:pPr algn="l" rtl="0">
            <a:defRPr sz="1000"/>
          </a:pPr>
          <a:endParaRPr lang="zh-CN" altLang="en-US" sz="1200" b="0" i="0" u="none" strike="noStrike" baseline="0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4</xdr:col>
      <xdr:colOff>396240</xdr:colOff>
      <xdr:row>7</xdr:row>
      <xdr:rowOff>213360</xdr:rowOff>
    </xdr:from>
    <xdr:to>
      <xdr:col>5</xdr:col>
      <xdr:colOff>480060</xdr:colOff>
      <xdr:row>13</xdr:row>
      <xdr:rowOff>53340</xdr:rowOff>
    </xdr:to>
    <xdr:sp macro="" textlink="">
      <xdr:nvSpPr>
        <xdr:cNvPr id="4106" name="Text Box 10"/>
        <xdr:cNvSpPr txBox="1">
          <a:spLocks noChangeArrowheads="1"/>
        </xdr:cNvSpPr>
      </xdr:nvSpPr>
      <xdr:spPr bwMode="auto">
        <a:xfrm>
          <a:off x="2407920" y="1905000"/>
          <a:ext cx="891540" cy="1348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可计算的螺栓型号有：M12、M16、M20，填入无效数字公式将不计算。欢迎使用！</a:t>
          </a:r>
        </a:p>
        <a:p>
          <a:pPr algn="l" rtl="0">
            <a:defRPr sz="1000"/>
          </a:pPr>
          <a:endParaRPr lang="zh-CN" altLang="en-US" sz="1200" b="0" i="0" u="none" strike="noStrike" baseline="0">
            <a:solidFill>
              <a:srgbClr val="000000"/>
            </a:solidFill>
            <a:latin typeface="宋体"/>
            <a:ea typeface="宋体"/>
          </a:endParaRPr>
        </a:p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  </a:t>
          </a:r>
        </a:p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  </a:t>
          </a:r>
        </a:p>
        <a:p>
          <a:pPr algn="l" rtl="0">
            <a:defRPr sz="1000"/>
          </a:pPr>
          <a:endParaRPr lang="zh-CN" altLang="en-US" sz="1200" b="0" i="0" u="none" strike="noStrike" baseline="0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  <xdr:twoCellAnchor>
    <xdr:from>
      <xdr:col>16</xdr:col>
      <xdr:colOff>426720</xdr:colOff>
      <xdr:row>6</xdr:row>
      <xdr:rowOff>190500</xdr:rowOff>
    </xdr:from>
    <xdr:to>
      <xdr:col>17</xdr:col>
      <xdr:colOff>746760</xdr:colOff>
      <xdr:row>10</xdr:row>
      <xdr:rowOff>190500</xdr:rowOff>
    </xdr:to>
    <xdr:sp macro="" textlink="">
      <xdr:nvSpPr>
        <xdr:cNvPr id="4107" name="Text Box 11"/>
        <xdr:cNvSpPr txBox="1">
          <a:spLocks noChangeArrowheads="1"/>
        </xdr:cNvSpPr>
      </xdr:nvSpPr>
      <xdr:spPr bwMode="auto">
        <a:xfrm>
          <a:off x="9745980" y="1630680"/>
          <a:ext cx="1363980" cy="1005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可计算的螺栓型号有： M16、M20、M22、M24。填入无效数时公式将不计算。欢迎使用！</a:t>
          </a:r>
        </a:p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 </a:t>
          </a:r>
        </a:p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  </a:t>
          </a:r>
        </a:p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  </a:t>
          </a:r>
        </a:p>
        <a:p>
          <a:pPr algn="l" rtl="0">
            <a:defRPr sz="1000"/>
          </a:pPr>
          <a:endParaRPr lang="zh-CN" altLang="en-US" sz="1200" b="0" i="0" u="none" strike="noStrike" baseline="0">
            <a:solidFill>
              <a:srgbClr val="000000"/>
            </a:solidFill>
            <a:latin typeface="宋体"/>
            <a:ea typeface="宋体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14</xdr:row>
      <xdr:rowOff>9525</xdr:rowOff>
    </xdr:to>
    <xdr:sp macro="" textlink="">
      <xdr:nvSpPr>
        <xdr:cNvPr id="3090" name="Rectangle 1"/>
        <xdr:cNvSpPr>
          <a:spLocks noChangeArrowheads="1"/>
        </xdr:cNvSpPr>
      </xdr:nvSpPr>
      <xdr:spPr bwMode="auto">
        <a:xfrm>
          <a:off x="285750" y="514350"/>
          <a:ext cx="3886200" cy="2962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12</xdr:col>
      <xdr:colOff>0</xdr:colOff>
      <xdr:row>13</xdr:row>
      <xdr:rowOff>9525</xdr:rowOff>
    </xdr:to>
    <xdr:sp macro="" textlink="">
      <xdr:nvSpPr>
        <xdr:cNvPr id="3091" name="Rectangle 2"/>
        <xdr:cNvSpPr>
          <a:spLocks noChangeArrowheads="1"/>
        </xdr:cNvSpPr>
      </xdr:nvSpPr>
      <xdr:spPr bwMode="auto">
        <a:xfrm>
          <a:off x="4667250" y="514350"/>
          <a:ext cx="3638550" cy="2714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10</xdr:col>
      <xdr:colOff>0</xdr:colOff>
      <xdr:row>45</xdr:row>
      <xdr:rowOff>0</xdr:rowOff>
    </xdr:to>
    <xdr:sp macro="" textlink="">
      <xdr:nvSpPr>
        <xdr:cNvPr id="3092" name="Rectangle 4"/>
        <xdr:cNvSpPr>
          <a:spLocks noChangeArrowheads="1"/>
        </xdr:cNvSpPr>
      </xdr:nvSpPr>
      <xdr:spPr bwMode="auto">
        <a:xfrm>
          <a:off x="285750" y="3895725"/>
          <a:ext cx="66484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0</xdr:colOff>
      <xdr:row>16</xdr:row>
      <xdr:rowOff>0</xdr:rowOff>
    </xdr:from>
    <xdr:to>
      <xdr:col>10</xdr:col>
      <xdr:colOff>0</xdr:colOff>
      <xdr:row>45</xdr:row>
      <xdr:rowOff>0</xdr:rowOff>
    </xdr:to>
    <xdr:sp macro="" textlink="">
      <xdr:nvSpPr>
        <xdr:cNvPr id="3093" name="Rectangle 5"/>
        <xdr:cNvSpPr>
          <a:spLocks noChangeArrowheads="1"/>
        </xdr:cNvSpPr>
      </xdr:nvSpPr>
      <xdr:spPr bwMode="auto">
        <a:xfrm>
          <a:off x="285750" y="3895725"/>
          <a:ext cx="66484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57150</xdr:colOff>
      <xdr:row>54</xdr:row>
      <xdr:rowOff>66675</xdr:rowOff>
    </xdr:from>
    <xdr:to>
      <xdr:col>10</xdr:col>
      <xdr:colOff>657225</xdr:colOff>
      <xdr:row>54</xdr:row>
      <xdr:rowOff>66675</xdr:rowOff>
    </xdr:to>
    <xdr:sp macro="" textlink="">
      <xdr:nvSpPr>
        <xdr:cNvPr id="3094" name="Line 6"/>
        <xdr:cNvSpPr>
          <a:spLocks noChangeShapeType="1"/>
        </xdr:cNvSpPr>
      </xdr:nvSpPr>
      <xdr:spPr bwMode="auto">
        <a:xfrm>
          <a:off x="342900" y="10477500"/>
          <a:ext cx="7248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781050</xdr:colOff>
      <xdr:row>54</xdr:row>
      <xdr:rowOff>95250</xdr:rowOff>
    </xdr:from>
    <xdr:to>
      <xdr:col>3</xdr:col>
      <xdr:colOff>781050</xdr:colOff>
      <xdr:row>61</xdr:row>
      <xdr:rowOff>47625</xdr:rowOff>
    </xdr:to>
    <xdr:sp macro="" textlink="">
      <xdr:nvSpPr>
        <xdr:cNvPr id="3095" name="Line 7"/>
        <xdr:cNvSpPr>
          <a:spLocks noChangeShapeType="1"/>
        </xdr:cNvSpPr>
      </xdr:nvSpPr>
      <xdr:spPr bwMode="auto">
        <a:xfrm>
          <a:off x="2962275" y="10506075"/>
          <a:ext cx="0" cy="1543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72</xdr:row>
      <xdr:rowOff>66675</xdr:rowOff>
    </xdr:from>
    <xdr:to>
      <xdr:col>10</xdr:col>
      <xdr:colOff>657225</xdr:colOff>
      <xdr:row>72</xdr:row>
      <xdr:rowOff>66675</xdr:rowOff>
    </xdr:to>
    <xdr:sp macro="" textlink="">
      <xdr:nvSpPr>
        <xdr:cNvPr id="3096" name="Line 8"/>
        <xdr:cNvSpPr>
          <a:spLocks noChangeShapeType="1"/>
        </xdr:cNvSpPr>
      </xdr:nvSpPr>
      <xdr:spPr bwMode="auto">
        <a:xfrm>
          <a:off x="342900" y="14306550"/>
          <a:ext cx="7248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781050</xdr:colOff>
      <xdr:row>72</xdr:row>
      <xdr:rowOff>95250</xdr:rowOff>
    </xdr:from>
    <xdr:to>
      <xdr:col>3</xdr:col>
      <xdr:colOff>781050</xdr:colOff>
      <xdr:row>80</xdr:row>
      <xdr:rowOff>85725</xdr:rowOff>
    </xdr:to>
    <xdr:sp macro="" textlink="">
      <xdr:nvSpPr>
        <xdr:cNvPr id="3097" name="Line 9"/>
        <xdr:cNvSpPr>
          <a:spLocks noChangeShapeType="1"/>
        </xdr:cNvSpPr>
      </xdr:nvSpPr>
      <xdr:spPr bwMode="auto">
        <a:xfrm>
          <a:off x="2962275" y="14335125"/>
          <a:ext cx="0" cy="1971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96</xdr:row>
      <xdr:rowOff>19050</xdr:rowOff>
    </xdr:from>
    <xdr:to>
      <xdr:col>4</xdr:col>
      <xdr:colOff>361950</xdr:colOff>
      <xdr:row>96</xdr:row>
      <xdr:rowOff>19050</xdr:rowOff>
    </xdr:to>
    <xdr:sp macro="" textlink="">
      <xdr:nvSpPr>
        <xdr:cNvPr id="3098" name="Line 10"/>
        <xdr:cNvSpPr>
          <a:spLocks noChangeShapeType="1"/>
        </xdr:cNvSpPr>
      </xdr:nvSpPr>
      <xdr:spPr bwMode="auto">
        <a:xfrm>
          <a:off x="3124200" y="19221450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102</xdr:row>
      <xdr:rowOff>19050</xdr:rowOff>
    </xdr:from>
    <xdr:to>
      <xdr:col>4</xdr:col>
      <xdr:colOff>361950</xdr:colOff>
      <xdr:row>102</xdr:row>
      <xdr:rowOff>19050</xdr:rowOff>
    </xdr:to>
    <xdr:sp macro="" textlink="">
      <xdr:nvSpPr>
        <xdr:cNvPr id="3099" name="Line 11"/>
        <xdr:cNvSpPr>
          <a:spLocks noChangeShapeType="1"/>
        </xdr:cNvSpPr>
      </xdr:nvSpPr>
      <xdr:spPr bwMode="auto">
        <a:xfrm>
          <a:off x="3124200" y="200882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88</xdr:row>
      <xdr:rowOff>76200</xdr:rowOff>
    </xdr:from>
    <xdr:to>
      <xdr:col>10</xdr:col>
      <xdr:colOff>666750</xdr:colOff>
      <xdr:row>88</xdr:row>
      <xdr:rowOff>76200</xdr:rowOff>
    </xdr:to>
    <xdr:sp macro="" textlink="">
      <xdr:nvSpPr>
        <xdr:cNvPr id="3100" name="Line 13"/>
        <xdr:cNvSpPr>
          <a:spLocks noChangeShapeType="1"/>
        </xdr:cNvSpPr>
      </xdr:nvSpPr>
      <xdr:spPr bwMode="auto">
        <a:xfrm>
          <a:off x="285750" y="18278475"/>
          <a:ext cx="7315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12</xdr:col>
      <xdr:colOff>0</xdr:colOff>
      <xdr:row>114</xdr:row>
      <xdr:rowOff>0</xdr:rowOff>
    </xdr:to>
    <xdr:sp macro="" textlink="">
      <xdr:nvSpPr>
        <xdr:cNvPr id="3101" name="Rectangle 14"/>
        <xdr:cNvSpPr>
          <a:spLocks noChangeArrowheads="1"/>
        </xdr:cNvSpPr>
      </xdr:nvSpPr>
      <xdr:spPr bwMode="auto">
        <a:xfrm>
          <a:off x="0" y="9115425"/>
          <a:ext cx="8305800" cy="13220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57150</xdr:colOff>
      <xdr:row>123</xdr:row>
      <xdr:rowOff>66675</xdr:rowOff>
    </xdr:from>
    <xdr:to>
      <xdr:col>10</xdr:col>
      <xdr:colOff>657225</xdr:colOff>
      <xdr:row>123</xdr:row>
      <xdr:rowOff>66675</xdr:rowOff>
    </xdr:to>
    <xdr:sp macro="" textlink="">
      <xdr:nvSpPr>
        <xdr:cNvPr id="3102" name="Line 15"/>
        <xdr:cNvSpPr>
          <a:spLocks noChangeShapeType="1"/>
        </xdr:cNvSpPr>
      </xdr:nvSpPr>
      <xdr:spPr bwMode="auto">
        <a:xfrm>
          <a:off x="342900" y="24117300"/>
          <a:ext cx="7248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781050</xdr:colOff>
      <xdr:row>123</xdr:row>
      <xdr:rowOff>95250</xdr:rowOff>
    </xdr:from>
    <xdr:to>
      <xdr:col>3</xdr:col>
      <xdr:colOff>781050</xdr:colOff>
      <xdr:row>131</xdr:row>
      <xdr:rowOff>95250</xdr:rowOff>
    </xdr:to>
    <xdr:sp macro="" textlink="">
      <xdr:nvSpPr>
        <xdr:cNvPr id="3103" name="Line 16"/>
        <xdr:cNvSpPr>
          <a:spLocks noChangeShapeType="1"/>
        </xdr:cNvSpPr>
      </xdr:nvSpPr>
      <xdr:spPr bwMode="auto">
        <a:xfrm>
          <a:off x="2962275" y="24145875"/>
          <a:ext cx="0" cy="1562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115</xdr:row>
      <xdr:rowOff>0</xdr:rowOff>
    </xdr:from>
    <xdr:to>
      <xdr:col>12</xdr:col>
      <xdr:colOff>0</xdr:colOff>
      <xdr:row>135</xdr:row>
      <xdr:rowOff>0</xdr:rowOff>
    </xdr:to>
    <xdr:sp macro="" textlink="">
      <xdr:nvSpPr>
        <xdr:cNvPr id="3104" name="Rectangle 17"/>
        <xdr:cNvSpPr>
          <a:spLocks noChangeArrowheads="1"/>
        </xdr:cNvSpPr>
      </xdr:nvSpPr>
      <xdr:spPr bwMode="auto">
        <a:xfrm>
          <a:off x="0" y="22517100"/>
          <a:ext cx="8305800" cy="3857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161925</xdr:rowOff>
    </xdr:from>
    <xdr:to>
      <xdr:col>4</xdr:col>
      <xdr:colOff>447675</xdr:colOff>
      <xdr:row>7</xdr:row>
      <xdr:rowOff>161925</xdr:rowOff>
    </xdr:to>
    <xdr:sp macro="" textlink="">
      <xdr:nvSpPr>
        <xdr:cNvPr id="6146" name="Line 1"/>
        <xdr:cNvSpPr>
          <a:spLocks noChangeShapeType="1"/>
        </xdr:cNvSpPr>
      </xdr:nvSpPr>
      <xdr:spPr bwMode="auto">
        <a:xfrm>
          <a:off x="57150" y="1828800"/>
          <a:ext cx="3790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6</xdr:row>
      <xdr:rowOff>38100</xdr:rowOff>
    </xdr:from>
    <xdr:to>
      <xdr:col>29</xdr:col>
      <xdr:colOff>9525</xdr:colOff>
      <xdr:row>6</xdr:row>
      <xdr:rowOff>38100</xdr:rowOff>
    </xdr:to>
    <xdr:sp macro="" textlink="">
      <xdr:nvSpPr>
        <xdr:cNvPr id="7179" name="Line 1"/>
        <xdr:cNvSpPr>
          <a:spLocks noChangeShapeType="1"/>
        </xdr:cNvSpPr>
      </xdr:nvSpPr>
      <xdr:spPr bwMode="auto">
        <a:xfrm>
          <a:off x="152400" y="1123950"/>
          <a:ext cx="3448050" cy="0"/>
        </a:xfrm>
        <a:prstGeom prst="lin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29</xdr:col>
      <xdr:colOff>0</xdr:colOff>
      <xdr:row>17</xdr:row>
      <xdr:rowOff>0</xdr:rowOff>
    </xdr:to>
    <xdr:sp macro="" textlink="">
      <xdr:nvSpPr>
        <xdr:cNvPr id="7180" name="Rectangle 2"/>
        <xdr:cNvSpPr>
          <a:spLocks noChangeArrowheads="1"/>
        </xdr:cNvSpPr>
      </xdr:nvSpPr>
      <xdr:spPr bwMode="auto">
        <a:xfrm>
          <a:off x="123825" y="228600"/>
          <a:ext cx="3467100" cy="2476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47625</xdr:colOff>
      <xdr:row>23</xdr:row>
      <xdr:rowOff>28575</xdr:rowOff>
    </xdr:from>
    <xdr:to>
      <xdr:col>44</xdr:col>
      <xdr:colOff>85725</xdr:colOff>
      <xdr:row>23</xdr:row>
      <xdr:rowOff>28575</xdr:rowOff>
    </xdr:to>
    <xdr:sp macro="" textlink="">
      <xdr:nvSpPr>
        <xdr:cNvPr id="7181" name="Line 7"/>
        <xdr:cNvSpPr>
          <a:spLocks noChangeShapeType="1"/>
        </xdr:cNvSpPr>
      </xdr:nvSpPr>
      <xdr:spPr bwMode="auto">
        <a:xfrm>
          <a:off x="171450" y="3933825"/>
          <a:ext cx="5362575" cy="0"/>
        </a:xfrm>
        <a:prstGeom prst="lin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35</xdr:row>
      <xdr:rowOff>66675</xdr:rowOff>
    </xdr:from>
    <xdr:to>
      <xdr:col>44</xdr:col>
      <xdr:colOff>95250</xdr:colOff>
      <xdr:row>35</xdr:row>
      <xdr:rowOff>66675</xdr:rowOff>
    </xdr:to>
    <xdr:sp macro="" textlink="">
      <xdr:nvSpPr>
        <xdr:cNvPr id="7182" name="Line 8"/>
        <xdr:cNvSpPr>
          <a:spLocks noChangeShapeType="1"/>
        </xdr:cNvSpPr>
      </xdr:nvSpPr>
      <xdr:spPr bwMode="auto">
        <a:xfrm>
          <a:off x="180975" y="5686425"/>
          <a:ext cx="5362575" cy="0"/>
        </a:xfrm>
        <a:prstGeom prst="line">
          <a:avLst/>
        </a:prstGeom>
        <a:noFill/>
        <a:ln w="190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0</xdr:rowOff>
    </xdr:from>
    <xdr:to>
      <xdr:col>47</xdr:col>
      <xdr:colOff>0</xdr:colOff>
      <xdr:row>38</xdr:row>
      <xdr:rowOff>0</xdr:rowOff>
    </xdr:to>
    <xdr:sp macro="" textlink="">
      <xdr:nvSpPr>
        <xdr:cNvPr id="7183" name="Rectangle 9"/>
        <xdr:cNvSpPr>
          <a:spLocks noChangeArrowheads="1"/>
        </xdr:cNvSpPr>
      </xdr:nvSpPr>
      <xdr:spPr bwMode="auto">
        <a:xfrm>
          <a:off x="0" y="3390900"/>
          <a:ext cx="5819775" cy="2743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32</xdr:col>
      <xdr:colOff>0</xdr:colOff>
      <xdr:row>25</xdr:row>
      <xdr:rowOff>0</xdr:rowOff>
    </xdr:from>
    <xdr:to>
      <xdr:col>45</xdr:col>
      <xdr:colOff>15240</xdr:colOff>
      <xdr:row>34</xdr:row>
      <xdr:rowOff>152400</xdr:rowOff>
    </xdr:to>
    <xdr:sp macro="" textlink="">
      <xdr:nvSpPr>
        <xdr:cNvPr id="7178" name="Rectangle 10"/>
        <xdr:cNvSpPr>
          <a:spLocks noChangeArrowheads="1"/>
        </xdr:cNvSpPr>
      </xdr:nvSpPr>
      <xdr:spPr bwMode="auto">
        <a:xfrm>
          <a:off x="3901440" y="4191000"/>
          <a:ext cx="1600200" cy="1371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100" b="0" i="0" u="none" strike="noStrike" baseline="0">
              <a:solidFill>
                <a:srgbClr val="000000"/>
              </a:solidFill>
              <a:latin typeface="宋体"/>
              <a:ea typeface="宋体"/>
            </a:rPr>
            <a:t>   本“软件”所计算出来的表面积在计算防火涂料面积时较实用，计算出来的表面积大于等于需要刷防火涂料的面积，请在计算是给予考虑！一次只能计算一种型钢。</a:t>
          </a: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5134" name="Rectangle 4"/>
        <xdr:cNvSpPr>
          <a:spLocks noChangeArrowheads="1"/>
        </xdr:cNvSpPr>
      </xdr:nvSpPr>
      <xdr:spPr bwMode="auto">
        <a:xfrm>
          <a:off x="95250" y="495300"/>
          <a:ext cx="4772025" cy="35528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527685</xdr:colOff>
      <xdr:row>3</xdr:row>
      <xdr:rowOff>83820</xdr:rowOff>
    </xdr:from>
    <xdr:to>
      <xdr:col>4</xdr:col>
      <xdr:colOff>800135</xdr:colOff>
      <xdr:row>22</xdr:row>
      <xdr:rowOff>182880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3467100" y="838200"/>
          <a:ext cx="1021080" cy="3200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zh-CN" altLang="en-US" sz="1200" b="1" i="0" u="none" strike="noStrike" baseline="0">
              <a:solidFill>
                <a:srgbClr val="000000"/>
              </a:solidFill>
              <a:latin typeface="宋体"/>
              <a:ea typeface="宋体"/>
            </a:rPr>
            <a:t>说明：</a:t>
          </a:r>
        </a:p>
        <a:p>
          <a:pPr algn="l" rtl="0">
            <a:lnSpc>
              <a:spcPts val="1400"/>
            </a:lnSpc>
            <a:defRPr sz="1000"/>
          </a:pPr>
          <a:r>
            <a:rPr lang="zh-CN" altLang="en-US" sz="1200" b="1" i="0" u="none" strike="noStrike" baseline="0">
              <a:solidFill>
                <a:srgbClr val="000000"/>
              </a:solidFill>
              <a:latin typeface="宋体"/>
              <a:ea typeface="宋体"/>
            </a:rPr>
            <a:t>   </a:t>
          </a: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与相同规格热扎型钢比较，热轧型钢各截面特性比焊接型钢截面特性偏大，我想可能焊接型钢计算时忽略了焊缝，不过焊接型钢截面特性设计手册上就是这样计算的，热轧型钢截面特性敬请查阅相关表格。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5136" name="Rectangle 12"/>
        <xdr:cNvSpPr>
          <a:spLocks noChangeArrowheads="1"/>
        </xdr:cNvSpPr>
      </xdr:nvSpPr>
      <xdr:spPr bwMode="auto">
        <a:xfrm>
          <a:off x="95250" y="4295775"/>
          <a:ext cx="4772025" cy="27241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502920</xdr:colOff>
      <xdr:row>25</xdr:row>
      <xdr:rowOff>53340</xdr:rowOff>
    </xdr:from>
    <xdr:to>
      <xdr:col>4</xdr:col>
      <xdr:colOff>883920</xdr:colOff>
      <xdr:row>35</xdr:row>
      <xdr:rowOff>175260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3451860" y="4640580"/>
          <a:ext cx="1120140" cy="22402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zh-CN" altLang="en-US" sz="1200" b="0" i="0" u="none" strike="noStrike" baseline="0">
              <a:solidFill>
                <a:srgbClr val="000000"/>
              </a:solidFill>
              <a:latin typeface="宋体"/>
              <a:ea typeface="宋体"/>
            </a:rPr>
            <a:t>此公式中惯性矩是根据中国建筑工业出版社第二版《建筑结构静力计算手册》上得来，计算结果与钢结构教科书中公式（上面）计算结果有一点误差，但误差很小，不影响使用。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</xdr:row>
          <xdr:rowOff>28575</xdr:rowOff>
        </xdr:from>
        <xdr:to>
          <xdr:col>4</xdr:col>
          <xdr:colOff>0</xdr:colOff>
          <xdr:row>4</xdr:row>
          <xdr:rowOff>533400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4</xdr:row>
          <xdr:rowOff>114300</xdr:rowOff>
        </xdr:from>
        <xdr:to>
          <xdr:col>2</xdr:col>
          <xdr:colOff>257175</xdr:colOff>
          <xdr:row>4</xdr:row>
          <xdr:rowOff>352425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</xdr:row>
          <xdr:rowOff>95250</xdr:rowOff>
        </xdr:from>
        <xdr:to>
          <xdr:col>4</xdr:col>
          <xdr:colOff>0</xdr:colOff>
          <xdr:row>5</xdr:row>
          <xdr:rowOff>485775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6</xdr:row>
          <xdr:rowOff>0</xdr:rowOff>
        </xdr:from>
        <xdr:to>
          <xdr:col>2</xdr:col>
          <xdr:colOff>238125</xdr:colOff>
          <xdr:row>6</xdr:row>
          <xdr:rowOff>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6</xdr:row>
          <xdr:rowOff>123825</xdr:rowOff>
        </xdr:from>
        <xdr:to>
          <xdr:col>2</xdr:col>
          <xdr:colOff>257175</xdr:colOff>
          <xdr:row>6</xdr:row>
          <xdr:rowOff>361950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7</xdr:row>
          <xdr:rowOff>0</xdr:rowOff>
        </xdr:from>
        <xdr:to>
          <xdr:col>2</xdr:col>
          <xdr:colOff>238125</xdr:colOff>
          <xdr:row>7</xdr:row>
          <xdr:rowOff>0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</xdr:row>
          <xdr:rowOff>95250</xdr:rowOff>
        </xdr:from>
        <xdr:to>
          <xdr:col>4</xdr:col>
          <xdr:colOff>0</xdr:colOff>
          <xdr:row>6</xdr:row>
          <xdr:rowOff>485775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7</xdr:row>
          <xdr:rowOff>0</xdr:rowOff>
        </xdr:from>
        <xdr:to>
          <xdr:col>2</xdr:col>
          <xdr:colOff>228600</xdr:colOff>
          <xdr:row>7</xdr:row>
          <xdr:rowOff>0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7</xdr:row>
          <xdr:rowOff>0</xdr:rowOff>
        </xdr:from>
        <xdr:to>
          <xdr:col>2</xdr:col>
          <xdr:colOff>228600</xdr:colOff>
          <xdr:row>7</xdr:row>
          <xdr:rowOff>0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oleObject" Target="../embeddings/oleObject7.bin"/><Relationship Id="rId18" Type="http://schemas.openxmlformats.org/officeDocument/2006/relationships/oleObject" Target="../embeddings/oleObject10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6.bin"/><Relationship Id="rId17" Type="http://schemas.openxmlformats.org/officeDocument/2006/relationships/image" Target="../media/image6.emf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9.bin"/><Relationship Id="rId1" Type="http://schemas.openxmlformats.org/officeDocument/2006/relationships/drawing" Target="../drawings/drawing7.xml"/><Relationship Id="rId6" Type="http://schemas.openxmlformats.org/officeDocument/2006/relationships/image" Target="../media/image2.emf"/><Relationship Id="rId11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15" Type="http://schemas.openxmlformats.org/officeDocument/2006/relationships/image" Target="../media/image5.emf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1.bin"/><Relationship Id="rId4" Type="http://schemas.openxmlformats.org/officeDocument/2006/relationships/image" Target="../media/image1.emf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6"/>
  <sheetViews>
    <sheetView tabSelected="1" topLeftCell="A2" workbookViewId="0">
      <selection activeCell="R2" sqref="R2"/>
    </sheetView>
  </sheetViews>
  <sheetFormatPr defaultRowHeight="20.100000000000001" customHeight="1" x14ac:dyDescent="0.15"/>
  <cols>
    <col min="1" max="1" width="1.25" style="9" customWidth="1"/>
    <col min="2" max="2" width="20.625" style="9" customWidth="1"/>
    <col min="3" max="3" width="13.125" style="9" customWidth="1"/>
    <col min="4" max="4" width="15.25" style="9" customWidth="1"/>
    <col min="5" max="5" width="1.25" style="14" customWidth="1"/>
    <col min="6" max="6" width="16.5" style="9" customWidth="1"/>
    <col min="7" max="7" width="14" style="9" customWidth="1"/>
    <col min="8" max="8" width="25.125" style="9" customWidth="1"/>
    <col min="9" max="9" width="1.625" style="14" customWidth="1"/>
    <col min="10" max="12" width="9" style="14"/>
    <col min="13" max="13" width="3.5" style="9" customWidth="1"/>
    <col min="14" max="14" width="3.875" style="9" customWidth="1"/>
    <col min="15" max="16384" width="9" style="9"/>
  </cols>
  <sheetData>
    <row r="2" spans="1:16" ht="20.100000000000001" customHeight="1" x14ac:dyDescent="0.15">
      <c r="A2" s="194" t="s">
        <v>182</v>
      </c>
      <c r="B2" s="194"/>
      <c r="C2" s="194"/>
      <c r="D2" s="194"/>
      <c r="E2" s="194"/>
      <c r="F2" s="194"/>
      <c r="G2" s="194"/>
      <c r="H2" s="194"/>
      <c r="I2" s="117"/>
      <c r="J2" s="117"/>
    </row>
    <row r="3" spans="1:16" ht="20.100000000000001" customHeight="1" thickBot="1" x14ac:dyDescent="0.2"/>
    <row r="4" spans="1:16" ht="20.100000000000001" customHeight="1" x14ac:dyDescent="0.15">
      <c r="B4" s="189" t="s">
        <v>57</v>
      </c>
      <c r="C4" s="190"/>
      <c r="D4" s="191"/>
      <c r="E4" s="6"/>
      <c r="F4" s="189" t="s">
        <v>59</v>
      </c>
      <c r="G4" s="190"/>
      <c r="H4" s="191"/>
      <c r="J4" s="187"/>
      <c r="K4" s="192"/>
      <c r="L4" s="192"/>
      <c r="M4" s="192"/>
      <c r="N4" s="192"/>
      <c r="O4" s="192"/>
      <c r="P4" s="23"/>
    </row>
    <row r="5" spans="1:16" ht="3.75" customHeight="1" x14ac:dyDescent="0.15">
      <c r="B5" s="51"/>
      <c r="C5" s="21"/>
      <c r="D5" s="52"/>
      <c r="E5" s="6"/>
      <c r="F5" s="51"/>
      <c r="G5" s="21"/>
      <c r="H5" s="52"/>
      <c r="J5" s="23"/>
      <c r="K5" s="23"/>
      <c r="L5" s="23"/>
      <c r="M5" s="23"/>
      <c r="N5" s="23"/>
      <c r="O5" s="23"/>
      <c r="P5" s="23"/>
    </row>
    <row r="6" spans="1:16" ht="20.100000000000001" customHeight="1" x14ac:dyDescent="0.15">
      <c r="B6" s="11" t="s">
        <v>4</v>
      </c>
      <c r="C6" s="12">
        <v>250</v>
      </c>
      <c r="D6" s="13" t="s">
        <v>0</v>
      </c>
      <c r="F6" s="22" t="s">
        <v>159</v>
      </c>
      <c r="G6" s="12">
        <v>1000</v>
      </c>
      <c r="H6" s="13" t="s">
        <v>0</v>
      </c>
      <c r="J6" s="193"/>
      <c r="K6" s="193"/>
      <c r="L6" s="23"/>
      <c r="M6" s="141"/>
      <c r="N6" s="23"/>
      <c r="O6" s="23"/>
      <c r="P6" s="23"/>
    </row>
    <row r="7" spans="1:16" ht="20.100000000000001" customHeight="1" x14ac:dyDescent="0.15">
      <c r="B7" s="11" t="s">
        <v>6</v>
      </c>
      <c r="C7" s="12">
        <v>150</v>
      </c>
      <c r="D7" s="13" t="s">
        <v>0</v>
      </c>
      <c r="F7" s="22" t="s">
        <v>160</v>
      </c>
      <c r="G7" s="12">
        <v>50</v>
      </c>
      <c r="H7" s="13" t="s">
        <v>0</v>
      </c>
      <c r="J7" s="23"/>
      <c r="K7" s="23"/>
      <c r="L7" s="23"/>
      <c r="M7" s="23"/>
      <c r="N7" s="23"/>
      <c r="O7" s="23"/>
      <c r="P7" s="23"/>
    </row>
    <row r="8" spans="1:16" ht="20.100000000000001" customHeight="1" x14ac:dyDescent="0.15">
      <c r="B8" s="11" t="s">
        <v>2</v>
      </c>
      <c r="C8" s="12">
        <v>6</v>
      </c>
      <c r="D8" s="13" t="s">
        <v>0</v>
      </c>
      <c r="F8" s="22" t="s">
        <v>161</v>
      </c>
      <c r="G8" s="12">
        <v>4</v>
      </c>
      <c r="H8" s="13" t="s">
        <v>0</v>
      </c>
      <c r="J8" s="188"/>
      <c r="K8" s="188"/>
      <c r="L8" s="187"/>
      <c r="M8" s="187"/>
      <c r="N8" s="192"/>
      <c r="O8" s="192"/>
      <c r="P8" s="23"/>
    </row>
    <row r="9" spans="1:16" ht="20.100000000000001" customHeight="1" x14ac:dyDescent="0.15">
      <c r="B9" s="11" t="s">
        <v>1</v>
      </c>
      <c r="C9" s="12">
        <v>8</v>
      </c>
      <c r="D9" s="13" t="s">
        <v>0</v>
      </c>
      <c r="F9" s="22" t="s">
        <v>157</v>
      </c>
      <c r="G9" s="12">
        <v>1</v>
      </c>
      <c r="H9" s="13" t="s">
        <v>158</v>
      </c>
      <c r="J9" s="140"/>
      <c r="K9" s="140"/>
      <c r="L9" s="139"/>
      <c r="M9" s="139"/>
      <c r="N9" s="23"/>
      <c r="O9" s="23"/>
      <c r="P9" s="23"/>
    </row>
    <row r="10" spans="1:16" ht="20.100000000000001" customHeight="1" x14ac:dyDescent="0.15">
      <c r="B10" s="11" t="s">
        <v>11</v>
      </c>
      <c r="C10" s="138">
        <f>IF(C6="","",IF(C7="","",IF(C9="","",IF(C8="","",ROUND((2*C7/1000*C9+(C6/1000-C9/500)*C8)*7.85,2)))))</f>
        <v>29.86</v>
      </c>
      <c r="D10" s="13" t="s">
        <v>3</v>
      </c>
      <c r="F10" s="22" t="s">
        <v>173</v>
      </c>
      <c r="G10" s="12">
        <v>1</v>
      </c>
      <c r="H10" s="13"/>
      <c r="J10" s="188"/>
      <c r="K10" s="188"/>
      <c r="L10" s="187"/>
      <c r="M10" s="187"/>
      <c r="N10" s="23"/>
      <c r="O10" s="23"/>
      <c r="P10" s="23"/>
    </row>
    <row r="11" spans="1:16" ht="20.100000000000001" customHeight="1" thickBot="1" x14ac:dyDescent="0.2">
      <c r="B11" s="15"/>
      <c r="C11" s="16"/>
      <c r="D11" s="17"/>
      <c r="F11" s="22" t="s">
        <v>170</v>
      </c>
      <c r="G11" s="43">
        <f>IF(OR(G6="",G6=0,G7="",G10="",G10=0,G7=0,G8="",G8=0),"",G6*G7*G8*7.85*G9*G10/10^6)</f>
        <v>1.57</v>
      </c>
      <c r="H11" s="13" t="s">
        <v>60</v>
      </c>
      <c r="J11" s="23"/>
      <c r="K11" s="23"/>
      <c r="L11" s="23"/>
      <c r="M11" s="23"/>
      <c r="N11" s="23"/>
      <c r="O11" s="23"/>
      <c r="P11" s="23"/>
    </row>
    <row r="12" spans="1:16" ht="20.100000000000001" customHeight="1" thickBot="1" x14ac:dyDescent="0.2">
      <c r="F12" s="15"/>
      <c r="G12" s="16"/>
      <c r="H12" s="17"/>
      <c r="J12" s="23"/>
      <c r="K12" s="23"/>
      <c r="L12" s="23"/>
      <c r="M12" s="23"/>
      <c r="N12" s="23"/>
      <c r="O12" s="23"/>
    </row>
    <row r="13" spans="1:16" ht="20.100000000000001" customHeight="1" thickBot="1" x14ac:dyDescent="0.2">
      <c r="B13" s="189" t="s">
        <v>58</v>
      </c>
      <c r="C13" s="190"/>
      <c r="D13" s="191"/>
    </row>
    <row r="14" spans="1:16" ht="20.100000000000001" customHeight="1" x14ac:dyDescent="0.15">
      <c r="B14" s="11" t="s">
        <v>4</v>
      </c>
      <c r="C14" s="12">
        <v>600</v>
      </c>
      <c r="D14" s="13" t="s">
        <v>0</v>
      </c>
      <c r="F14" s="114" t="s">
        <v>163</v>
      </c>
      <c r="G14" s="115"/>
      <c r="H14" s="39"/>
    </row>
    <row r="15" spans="1:16" ht="20.100000000000001" customHeight="1" x14ac:dyDescent="0.15">
      <c r="B15" s="11" t="s">
        <v>7</v>
      </c>
      <c r="C15" s="12">
        <v>320</v>
      </c>
      <c r="D15" s="13" t="s">
        <v>0</v>
      </c>
      <c r="F15" s="51"/>
      <c r="G15" s="21"/>
      <c r="H15" s="52"/>
    </row>
    <row r="16" spans="1:16" ht="20.100000000000001" customHeight="1" x14ac:dyDescent="0.15">
      <c r="B16" s="11" t="s">
        <v>8</v>
      </c>
      <c r="C16" s="12">
        <v>220</v>
      </c>
      <c r="D16" s="13" t="s">
        <v>0</v>
      </c>
      <c r="F16" s="22" t="s">
        <v>159</v>
      </c>
      <c r="G16" s="12">
        <v>0.6</v>
      </c>
      <c r="H16" s="13" t="s">
        <v>165</v>
      </c>
    </row>
    <row r="17" spans="2:9" ht="20.100000000000001" customHeight="1" x14ac:dyDescent="0.15">
      <c r="B17" s="11" t="s">
        <v>2</v>
      </c>
      <c r="C17" s="12">
        <v>6</v>
      </c>
      <c r="D17" s="13" t="s">
        <v>0</v>
      </c>
      <c r="F17" s="22" t="s">
        <v>164</v>
      </c>
      <c r="G17" s="12">
        <v>5.53</v>
      </c>
      <c r="H17" s="13" t="s">
        <v>174</v>
      </c>
    </row>
    <row r="18" spans="2:9" ht="20.100000000000001" customHeight="1" x14ac:dyDescent="0.15">
      <c r="B18" s="11" t="s">
        <v>9</v>
      </c>
      <c r="C18" s="12">
        <v>16</v>
      </c>
      <c r="D18" s="13" t="s">
        <v>0</v>
      </c>
      <c r="F18" s="22" t="s">
        <v>157</v>
      </c>
      <c r="G18" s="12">
        <v>27</v>
      </c>
      <c r="H18" s="13"/>
    </row>
    <row r="19" spans="2:9" ht="20.100000000000001" customHeight="1" x14ac:dyDescent="0.15">
      <c r="B19" s="11" t="s">
        <v>10</v>
      </c>
      <c r="C19" s="12">
        <v>16</v>
      </c>
      <c r="D19" s="13" t="s">
        <v>0</v>
      </c>
      <c r="F19" s="22" t="s">
        <v>173</v>
      </c>
      <c r="G19" s="12">
        <v>1</v>
      </c>
      <c r="H19" s="13"/>
    </row>
    <row r="20" spans="2:9" ht="20.100000000000001" customHeight="1" x14ac:dyDescent="0.15">
      <c r="B20" s="11" t="s">
        <v>11</v>
      </c>
      <c r="C20" s="49">
        <f>IF(C14="","",IF(C15="","",IF(C16="","",IF(C17="","",IF(C18="","",IF(C19="","",ROUND((((C15*C18+C16*C19)+(C14-C18-C19)*C17)*7.85)/1000,2)))))))</f>
        <v>94.58</v>
      </c>
      <c r="D20" s="13" t="s">
        <v>3</v>
      </c>
      <c r="F20" s="22" t="s">
        <v>171</v>
      </c>
      <c r="G20" s="43">
        <f>IF(OR(G16="",G16=0,G17="",G19="",G19=0,G17=0,G18="",G18=0),"",G16*G17*G18*G19)</f>
        <v>89.585999999999999</v>
      </c>
      <c r="H20" s="13" t="s">
        <v>60</v>
      </c>
    </row>
    <row r="21" spans="2:9" ht="20.100000000000001" customHeight="1" thickBot="1" x14ac:dyDescent="0.2">
      <c r="B21" s="15"/>
      <c r="C21" s="24"/>
      <c r="D21" s="17"/>
      <c r="F21" s="15"/>
      <c r="G21" s="16"/>
      <c r="H21" s="17"/>
    </row>
    <row r="22" spans="2:9" ht="20.100000000000001" customHeight="1" x14ac:dyDescent="0.15">
      <c r="B22" s="23"/>
      <c r="C22" s="137"/>
      <c r="D22" s="23"/>
      <c r="F22" s="23"/>
      <c r="G22" s="23"/>
      <c r="H22" s="23"/>
    </row>
    <row r="23" spans="2:9" ht="20.100000000000001" customHeight="1" x14ac:dyDescent="0.15">
      <c r="B23" s="195" t="s">
        <v>194</v>
      </c>
      <c r="C23" s="195"/>
      <c r="D23" s="195"/>
      <c r="E23" s="195"/>
      <c r="F23" s="195"/>
      <c r="G23" s="195"/>
      <c r="H23" s="195"/>
      <c r="I23" s="195"/>
    </row>
    <row r="24" spans="2:9" ht="5.25" customHeight="1" thickBot="1" x14ac:dyDescent="0.2">
      <c r="E24" s="9"/>
      <c r="I24" s="9"/>
    </row>
    <row r="25" spans="2:9" ht="20.100000000000001" customHeight="1" x14ac:dyDescent="0.15">
      <c r="B25" s="189" t="s">
        <v>195</v>
      </c>
      <c r="C25" s="190"/>
      <c r="D25" s="191"/>
      <c r="F25" s="189" t="s">
        <v>196</v>
      </c>
      <c r="G25" s="190"/>
      <c r="H25" s="191"/>
    </row>
    <row r="26" spans="2:9" ht="20.100000000000001" customHeight="1" x14ac:dyDescent="0.15">
      <c r="B26" s="135" t="s">
        <v>192</v>
      </c>
      <c r="C26" s="136"/>
      <c r="D26" s="52"/>
      <c r="F26" s="135" t="s">
        <v>193</v>
      </c>
      <c r="G26" s="136"/>
      <c r="H26" s="52"/>
    </row>
    <row r="27" spans="2:9" ht="20.100000000000001" customHeight="1" x14ac:dyDescent="0.15">
      <c r="B27" s="11" t="s">
        <v>4</v>
      </c>
      <c r="C27" s="12">
        <v>150</v>
      </c>
      <c r="D27" s="13" t="s">
        <v>0</v>
      </c>
      <c r="F27" s="11" t="s">
        <v>4</v>
      </c>
      <c r="G27" s="12">
        <v>148</v>
      </c>
      <c r="H27" s="13" t="s">
        <v>0</v>
      </c>
    </row>
    <row r="28" spans="2:9" ht="20.100000000000001" customHeight="1" x14ac:dyDescent="0.15">
      <c r="B28" s="11" t="s">
        <v>6</v>
      </c>
      <c r="C28" s="12">
        <v>150</v>
      </c>
      <c r="D28" s="13" t="s">
        <v>0</v>
      </c>
      <c r="F28" s="11" t="s">
        <v>6</v>
      </c>
      <c r="G28" s="12">
        <v>100</v>
      </c>
      <c r="H28" s="13" t="s">
        <v>0</v>
      </c>
    </row>
    <row r="29" spans="2:9" ht="20.100000000000001" customHeight="1" x14ac:dyDescent="0.15">
      <c r="B29" s="11" t="s">
        <v>2</v>
      </c>
      <c r="C29" s="12">
        <v>4.5</v>
      </c>
      <c r="D29" s="13" t="s">
        <v>0</v>
      </c>
      <c r="F29" s="11" t="s">
        <v>2</v>
      </c>
      <c r="G29" s="12">
        <v>6</v>
      </c>
      <c r="H29" s="13" t="s">
        <v>0</v>
      </c>
    </row>
    <row r="30" spans="2:9" ht="20.100000000000001" customHeight="1" x14ac:dyDescent="0.15">
      <c r="B30" s="11" t="s">
        <v>1</v>
      </c>
      <c r="C30" s="12">
        <v>6</v>
      </c>
      <c r="D30" s="13" t="s">
        <v>0</v>
      </c>
      <c r="F30" s="11" t="s">
        <v>1</v>
      </c>
      <c r="G30" s="12">
        <v>9</v>
      </c>
      <c r="H30" s="13" t="s">
        <v>0</v>
      </c>
    </row>
    <row r="31" spans="2:9" ht="20.100000000000001" customHeight="1" x14ac:dyDescent="0.15">
      <c r="B31" s="11" t="s">
        <v>11</v>
      </c>
      <c r="C31" s="138">
        <f>IF(OR(C27="",C28="",C29="",C30=""),"",IF(C27&lt;=175,((2*C28/1000*C30+(C27/1000-C30/500)*C29)+0.1*(4-PI()))*7.85,IF(C27&lt;=250,((2*C28/1000*C30+(C27/1000-C30/500)*C29)+0.169*(4-PI()))*7.85,IF(C27&lt;=400,((2*C28/1000*C30+(C27/1000-C30/500)*C29)+0.256*(4-PI()))*7.85,IF(C27&lt;=506,((2*C28/1000*C30+(C27/1000-C30/500)*C29)+0.4*(4-PI()))*7.85,IF(C27&lt;=606,((2*C28/1000*C30+(C27/1000-C30/500)*C29)+0.576*(4-PI()))*7.85,IF(C27&lt;=912,((2*C28/1000*C30+(C27/1000-C30/500)*C29)+0.784*(4-PI()))*7.85,"")))))))</f>
        <v>19.678699766932009</v>
      </c>
      <c r="D31" s="13" t="s">
        <v>3</v>
      </c>
      <c r="F31" s="11" t="s">
        <v>11</v>
      </c>
      <c r="G31" s="138">
        <f>IF(OR(G27="",G28="",G29="",G30=""),"",IF(G27&lt;=150,((2*G28/1000*G30+(G27/1000-G30/500)*G29)+13^2/1000*(4-PI()))*7.85,IF(G27&lt;=250,((2*G28/1000*G30+(G27/1000-G30/500)*G29)+16^2/1000*(4-PI()))*7.85,IF(G27&lt;=350,((2*G28/1000*G30+(G27/1000-G30/500)*G29)+20^2/1000*(4-PI()))*7.85,IF(G27&lt;=450,((2*G28/1000*G30+(G27/1000-G30/500)*G29)+24^2/1000*(4-PI()))*7.85,IF(G27&lt;=600,((2*G28/1000*G30+(G27/1000-G30/500)*G29)+28^2/1000*(4-PI()))*7.85,""))))))</f>
        <v>21.391806106115098</v>
      </c>
      <c r="H31" s="13" t="s">
        <v>3</v>
      </c>
    </row>
    <row r="32" spans="2:9" ht="20.100000000000001" customHeight="1" thickBot="1" x14ac:dyDescent="0.2">
      <c r="B32" s="15"/>
      <c r="C32" s="16"/>
      <c r="D32" s="17"/>
      <c r="F32" s="15"/>
      <c r="G32" s="16"/>
      <c r="H32" s="17"/>
    </row>
    <row r="33" spans="2:8" ht="20.100000000000001" customHeight="1" thickBot="1" x14ac:dyDescent="0.2">
      <c r="B33" s="23"/>
      <c r="C33" s="23"/>
      <c r="D33" s="23"/>
      <c r="F33" s="23"/>
      <c r="G33" s="23"/>
      <c r="H33" s="23"/>
    </row>
    <row r="34" spans="2:8" ht="20.100000000000001" customHeight="1" x14ac:dyDescent="0.15">
      <c r="B34" s="189" t="s">
        <v>197</v>
      </c>
      <c r="C34" s="190"/>
      <c r="D34" s="191"/>
      <c r="F34" s="114" t="s">
        <v>169</v>
      </c>
      <c r="G34" s="115"/>
      <c r="H34" s="39"/>
    </row>
    <row r="35" spans="2:8" ht="20.100000000000001" customHeight="1" x14ac:dyDescent="0.15">
      <c r="B35" s="135" t="s">
        <v>198</v>
      </c>
      <c r="C35" s="136"/>
      <c r="D35" s="52"/>
      <c r="F35" s="51"/>
      <c r="G35" s="21"/>
      <c r="H35" s="52"/>
    </row>
    <row r="36" spans="2:8" ht="20.100000000000001" customHeight="1" x14ac:dyDescent="0.15">
      <c r="B36" s="11" t="s">
        <v>4</v>
      </c>
      <c r="C36" s="12">
        <v>200</v>
      </c>
      <c r="D36" s="13" t="s">
        <v>0</v>
      </c>
      <c r="F36" s="22" t="s">
        <v>166</v>
      </c>
      <c r="G36" s="12">
        <v>10050</v>
      </c>
      <c r="H36" s="13" t="s">
        <v>0</v>
      </c>
    </row>
    <row r="37" spans="2:8" ht="20.100000000000001" customHeight="1" x14ac:dyDescent="0.15">
      <c r="B37" s="11" t="s">
        <v>6</v>
      </c>
      <c r="C37" s="12">
        <v>200</v>
      </c>
      <c r="D37" s="13" t="s">
        <v>0</v>
      </c>
      <c r="F37" s="22"/>
      <c r="G37" s="19"/>
      <c r="H37" s="13"/>
    </row>
    <row r="38" spans="2:8" ht="20.100000000000001" customHeight="1" x14ac:dyDescent="0.15">
      <c r="B38" s="11" t="s">
        <v>2</v>
      </c>
      <c r="C38" s="12">
        <v>6</v>
      </c>
      <c r="D38" s="13" t="s">
        <v>0</v>
      </c>
      <c r="F38" s="22" t="s">
        <v>167</v>
      </c>
      <c r="G38" s="12">
        <v>12000</v>
      </c>
      <c r="H38" s="13" t="s">
        <v>0</v>
      </c>
    </row>
    <row r="39" spans="2:8" ht="20.100000000000001" customHeight="1" x14ac:dyDescent="0.15">
      <c r="B39" s="11" t="s">
        <v>1</v>
      </c>
      <c r="C39" s="12">
        <v>8</v>
      </c>
      <c r="D39" s="13" t="s">
        <v>0</v>
      </c>
      <c r="F39" s="22"/>
      <c r="G39" s="19"/>
      <c r="H39" s="13"/>
    </row>
    <row r="40" spans="2:8" ht="20.100000000000001" customHeight="1" x14ac:dyDescent="0.15">
      <c r="B40" s="11" t="s">
        <v>11</v>
      </c>
      <c r="C40" s="138">
        <f>IF(OR(C36="",C37="",C38="",C39=""),"",IF(C36&lt;=125,((2*C37/1000*C39+(C36/1000-C39/500)*C38)+10^2/1000*(4-PI()))*7.85,IF(C36&lt;=175,((2*C37/1000*C39+(C36/1000-C39/500)*C38)+13^2/1000*(4-PI()))*7.85,IF(C36&lt;=255,((2*C37/1000*C39+(C36/1000-C39/500)*C38)+16^2/1000*(4-PI()))*7.85,IF(C36&lt;=350,((2*C37/1000*C39+(C36/1000-C39/500)*C38)+20^2/1000*(4-PI()))*7.85,IF(C36&lt;=498,((2*C37/1000*C39+(C36/1000-C39/500)*C38)+24^2/1000*(4-PI()))*7.85,""))))))</f>
        <v>35.511455403345956</v>
      </c>
      <c r="D40" s="13" t="s">
        <v>3</v>
      </c>
      <c r="F40" s="20"/>
      <c r="G40" s="19"/>
      <c r="H40" s="13"/>
    </row>
    <row r="41" spans="2:8" ht="20.100000000000001" customHeight="1" thickBot="1" x14ac:dyDescent="0.2">
      <c r="B41" s="15"/>
      <c r="C41" s="16"/>
      <c r="D41" s="17"/>
      <c r="F41" s="22" t="s">
        <v>168</v>
      </c>
      <c r="G41" s="43">
        <f>IF(AND(G36="",G38=""),"",IF(OR(G36="",G38="",G36=0,G38=0),0,SQRT((G36/1000)^2+(G38/1000)^2)))</f>
        <v>15.652555701865431</v>
      </c>
      <c r="H41" s="13" t="s">
        <v>165</v>
      </c>
    </row>
    <row r="42" spans="2:8" ht="20.100000000000001" customHeight="1" thickBot="1" x14ac:dyDescent="0.2">
      <c r="F42" s="15"/>
      <c r="G42" s="16"/>
      <c r="H42" s="17"/>
    </row>
    <row r="43" spans="2:8" ht="20.100000000000001" customHeight="1" x14ac:dyDescent="0.15">
      <c r="B43" s="189" t="s">
        <v>20</v>
      </c>
      <c r="C43" s="190"/>
      <c r="D43" s="191"/>
      <c r="F43" s="113"/>
      <c r="G43" s="113"/>
      <c r="H43" s="113"/>
    </row>
    <row r="44" spans="2:8" ht="20.100000000000001" customHeight="1" x14ac:dyDescent="0.15">
      <c r="B44" s="22" t="s">
        <v>13</v>
      </c>
      <c r="C44" s="12">
        <v>180</v>
      </c>
      <c r="D44" s="13" t="s">
        <v>0</v>
      </c>
    </row>
    <row r="45" spans="2:8" ht="20.100000000000001" customHeight="1" x14ac:dyDescent="0.15">
      <c r="B45" s="22" t="s">
        <v>14</v>
      </c>
      <c r="C45" s="12">
        <v>70</v>
      </c>
      <c r="D45" s="13" t="s">
        <v>0</v>
      </c>
    </row>
    <row r="46" spans="2:8" ht="20.100000000000001" customHeight="1" x14ac:dyDescent="0.15">
      <c r="B46" s="22" t="s">
        <v>15</v>
      </c>
      <c r="C46" s="12">
        <v>20</v>
      </c>
      <c r="D46" s="13" t="s">
        <v>0</v>
      </c>
    </row>
    <row r="47" spans="2:8" ht="20.100000000000001" customHeight="1" x14ac:dyDescent="0.15">
      <c r="B47" s="22" t="s">
        <v>16</v>
      </c>
      <c r="C47" s="12">
        <v>2.5</v>
      </c>
      <c r="D47" s="13" t="s">
        <v>0</v>
      </c>
    </row>
    <row r="48" spans="2:8" ht="20.100000000000001" customHeight="1" x14ac:dyDescent="0.15">
      <c r="B48" s="11" t="s">
        <v>11</v>
      </c>
      <c r="C48" s="42">
        <f>IF(C44="","",IF(C45="","",IF(C47="","",IF(C46="","",ROUND((C44+2*(C45+C46))*C47*7.85/1000,3)))))</f>
        <v>7.0650000000000004</v>
      </c>
      <c r="D48" s="13" t="s">
        <v>3</v>
      </c>
    </row>
    <row r="49" spans="2:7" ht="4.5" customHeight="1" x14ac:dyDescent="0.15">
      <c r="B49" s="11"/>
      <c r="C49" s="21"/>
      <c r="D49" s="13"/>
    </row>
    <row r="50" spans="2:7" ht="20.100000000000001" customHeight="1" x14ac:dyDescent="0.15">
      <c r="B50" s="22" t="s">
        <v>12</v>
      </c>
      <c r="C50" s="43">
        <f>C48*0.95</f>
        <v>6.7117500000000003</v>
      </c>
      <c r="D50" s="13" t="s">
        <v>3</v>
      </c>
    </row>
    <row r="51" spans="2:7" ht="20.100000000000001" customHeight="1" thickBot="1" x14ac:dyDescent="0.2">
      <c r="B51" s="15"/>
      <c r="C51" s="16"/>
      <c r="D51" s="17"/>
    </row>
    <row r="52" spans="2:7" ht="20.100000000000001" customHeight="1" thickBot="1" x14ac:dyDescent="0.2"/>
    <row r="53" spans="2:7" ht="20.100000000000001" customHeight="1" x14ac:dyDescent="0.15">
      <c r="B53" s="189" t="s">
        <v>61</v>
      </c>
      <c r="C53" s="190"/>
      <c r="D53" s="191"/>
      <c r="E53" s="128"/>
    </row>
    <row r="54" spans="2:7" ht="20.100000000000001" customHeight="1" x14ac:dyDescent="0.15">
      <c r="B54" s="22" t="s">
        <v>13</v>
      </c>
      <c r="C54" s="12">
        <v>114</v>
      </c>
      <c r="D54" s="13" t="s">
        <v>0</v>
      </c>
      <c r="E54" s="129"/>
      <c r="F54" s="116"/>
      <c r="G54" s="116"/>
    </row>
    <row r="55" spans="2:7" ht="20.100000000000001" customHeight="1" x14ac:dyDescent="0.15">
      <c r="B55" s="22" t="s">
        <v>16</v>
      </c>
      <c r="C55" s="12">
        <v>4</v>
      </c>
      <c r="D55" s="13" t="s">
        <v>0</v>
      </c>
      <c r="E55" s="129"/>
      <c r="F55" s="116"/>
      <c r="G55" s="116"/>
    </row>
    <row r="56" spans="2:7" ht="20.100000000000001" customHeight="1" x14ac:dyDescent="0.15">
      <c r="B56" s="11" t="s">
        <v>11</v>
      </c>
      <c r="C56" s="42">
        <f>IF(OR(OR(C54="",C54=0),OR(C55="",C55=0)),"",PI()*7.85*((C54/2)^2-((C54-2*C55)/2)^2)/1000)</f>
        <v>10.851061025499144</v>
      </c>
      <c r="D56" s="13" t="s">
        <v>3</v>
      </c>
      <c r="E56" s="129"/>
      <c r="F56" s="116"/>
      <c r="G56" s="116"/>
    </row>
    <row r="57" spans="2:7" ht="5.25" customHeight="1" thickBot="1" x14ac:dyDescent="0.2">
      <c r="B57" s="15"/>
      <c r="C57" s="16"/>
      <c r="D57" s="17"/>
    </row>
    <row r="58" spans="2:7" s="14" customFormat="1" ht="20.100000000000001" customHeight="1" thickBot="1" x14ac:dyDescent="0.2">
      <c r="B58" s="23"/>
      <c r="C58" s="23"/>
      <c r="D58" s="23"/>
    </row>
    <row r="59" spans="2:7" ht="20.100000000000001" customHeight="1" x14ac:dyDescent="0.15">
      <c r="B59" s="189" t="s">
        <v>19</v>
      </c>
      <c r="C59" s="190"/>
      <c r="D59" s="191"/>
      <c r="E59" s="128"/>
      <c r="F59" s="116"/>
      <c r="G59" s="116"/>
    </row>
    <row r="60" spans="2:7" ht="20.100000000000001" customHeight="1" x14ac:dyDescent="0.15">
      <c r="B60" s="22" t="s">
        <v>13</v>
      </c>
      <c r="C60" s="12">
        <v>50</v>
      </c>
      <c r="D60" s="13" t="s">
        <v>0</v>
      </c>
      <c r="E60" s="129"/>
      <c r="F60" s="116"/>
      <c r="G60" s="116"/>
    </row>
    <row r="61" spans="2:7" ht="20.100000000000001" customHeight="1" x14ac:dyDescent="0.15">
      <c r="B61" s="22" t="s">
        <v>18</v>
      </c>
      <c r="C61" s="12">
        <v>50</v>
      </c>
      <c r="D61" s="13" t="s">
        <v>0</v>
      </c>
      <c r="E61" s="129"/>
      <c r="F61" s="116"/>
      <c r="G61" s="116"/>
    </row>
    <row r="62" spans="2:7" ht="20.100000000000001" customHeight="1" x14ac:dyDescent="0.15">
      <c r="B62" s="22" t="s">
        <v>16</v>
      </c>
      <c r="C62" s="12">
        <v>3</v>
      </c>
      <c r="D62" s="13" t="s">
        <v>0</v>
      </c>
      <c r="E62" s="129"/>
      <c r="F62" s="116"/>
      <c r="G62" s="116"/>
    </row>
    <row r="63" spans="2:7" ht="20.100000000000001" customHeight="1" x14ac:dyDescent="0.15">
      <c r="B63" s="11" t="s">
        <v>11</v>
      </c>
      <c r="C63" s="42">
        <f>IF(OR(C60="",C60=0,C61="",C61=0,C62="",C62=0),"",(C60*C61-(C60-2*C62)*(C61-2*C62))*7.85/1000)</f>
        <v>4.4273999999999996</v>
      </c>
      <c r="D63" s="13" t="s">
        <v>3</v>
      </c>
      <c r="E63" s="129"/>
      <c r="F63" s="116"/>
      <c r="G63" s="116"/>
    </row>
    <row r="64" spans="2:7" ht="5.25" customHeight="1" thickBot="1" x14ac:dyDescent="0.2">
      <c r="B64" s="15"/>
      <c r="C64" s="16"/>
      <c r="D64" s="17"/>
    </row>
    <row r="65" spans="2:8" ht="20.100000000000001" customHeight="1" thickBot="1" x14ac:dyDescent="0.2"/>
    <row r="66" spans="2:8" ht="20.100000000000001" customHeight="1" x14ac:dyDescent="0.15">
      <c r="B66" s="189" t="s">
        <v>42</v>
      </c>
      <c r="C66" s="190"/>
      <c r="D66" s="191"/>
    </row>
    <row r="67" spans="2:8" ht="20.100000000000001" customHeight="1" x14ac:dyDescent="0.15">
      <c r="B67" s="22" t="s">
        <v>17</v>
      </c>
      <c r="C67" s="12">
        <v>8</v>
      </c>
      <c r="D67" s="13" t="s">
        <v>0</v>
      </c>
    </row>
    <row r="68" spans="2:8" ht="20.100000000000001" customHeight="1" x14ac:dyDescent="0.15">
      <c r="B68" s="11" t="s">
        <v>11</v>
      </c>
      <c r="C68" s="42">
        <f>IF(C67="","",ROUND(PI()*(C67/2)^2*7.85/1000,2))</f>
        <v>0.39</v>
      </c>
      <c r="D68" s="13" t="s">
        <v>3</v>
      </c>
    </row>
    <row r="69" spans="2:8" ht="7.5" customHeight="1" thickBot="1" x14ac:dyDescent="0.2">
      <c r="B69" s="15"/>
      <c r="C69" s="16"/>
      <c r="D69" s="17"/>
    </row>
    <row r="70" spans="2:8" ht="20.100000000000001" customHeight="1" thickBot="1" x14ac:dyDescent="0.2"/>
    <row r="71" spans="2:8" ht="20.100000000000001" customHeight="1" x14ac:dyDescent="0.15">
      <c r="B71" s="189" t="s">
        <v>40</v>
      </c>
      <c r="C71" s="190"/>
      <c r="D71" s="191"/>
    </row>
    <row r="72" spans="2:8" ht="20.100000000000001" customHeight="1" x14ac:dyDescent="0.15">
      <c r="B72" s="22" t="s">
        <v>13</v>
      </c>
      <c r="C72" s="12">
        <v>30</v>
      </c>
      <c r="D72" s="13" t="s">
        <v>0</v>
      </c>
    </row>
    <row r="73" spans="2:8" ht="20.100000000000001" customHeight="1" x14ac:dyDescent="0.15">
      <c r="B73" s="22" t="s">
        <v>18</v>
      </c>
      <c r="C73" s="12">
        <v>50</v>
      </c>
      <c r="D73" s="13" t="s">
        <v>0</v>
      </c>
    </row>
    <row r="74" spans="2:8" ht="20.100000000000001" customHeight="1" x14ac:dyDescent="0.15">
      <c r="B74" s="11" t="s">
        <v>11</v>
      </c>
      <c r="C74" s="42">
        <f>IF(OR(C72="",C73="",C72=0,C73=0),"",C72*C73*7.85/1000)</f>
        <v>11.775</v>
      </c>
      <c r="D74" s="13" t="s">
        <v>3</v>
      </c>
    </row>
    <row r="75" spans="2:8" ht="20.100000000000001" customHeight="1" thickBot="1" x14ac:dyDescent="0.2">
      <c r="B75" s="15"/>
      <c r="C75" s="16"/>
      <c r="D75" s="17"/>
    </row>
    <row r="76" spans="2:8" ht="20.100000000000001" customHeight="1" x14ac:dyDescent="0.15">
      <c r="H76" s="9" t="s">
        <v>43</v>
      </c>
    </row>
  </sheetData>
  <mergeCells count="20">
    <mergeCell ref="B66:D66"/>
    <mergeCell ref="B71:D71"/>
    <mergeCell ref="B59:D59"/>
    <mergeCell ref="B4:D4"/>
    <mergeCell ref="B13:D13"/>
    <mergeCell ref="B43:D43"/>
    <mergeCell ref="B53:D53"/>
    <mergeCell ref="B23:I23"/>
    <mergeCell ref="B34:D34"/>
    <mergeCell ref="J4:O4"/>
    <mergeCell ref="J6:K6"/>
    <mergeCell ref="L8:M8"/>
    <mergeCell ref="N8:O8"/>
    <mergeCell ref="A2:H2"/>
    <mergeCell ref="F4:H4"/>
    <mergeCell ref="L10:M10"/>
    <mergeCell ref="J8:K8"/>
    <mergeCell ref="J10:K10"/>
    <mergeCell ref="B25:D25"/>
    <mergeCell ref="F25:H25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opLeftCell="C1" workbookViewId="0">
      <selection activeCell="H29" sqref="H29"/>
    </sheetView>
  </sheetViews>
  <sheetFormatPr defaultRowHeight="14.25" x14ac:dyDescent="0.15"/>
  <cols>
    <col min="1" max="1" width="1.625" style="130" customWidth="1"/>
    <col min="2" max="2" width="10.625" customWidth="1"/>
    <col min="3" max="3" width="8.625" style="25" customWidth="1"/>
    <col min="4" max="4" width="5.625" style="25" customWidth="1"/>
    <col min="5" max="5" width="10.625" customWidth="1"/>
    <col min="6" max="6" width="7.875" customWidth="1"/>
    <col min="7" max="7" width="0.625" customWidth="1"/>
    <col min="8" max="8" width="11.875" customWidth="1"/>
    <col min="9" max="9" width="8.625" customWidth="1"/>
    <col min="10" max="10" width="5.625" customWidth="1"/>
    <col min="11" max="11" width="10.25" style="25" bestFit="1" customWidth="1"/>
    <col min="12" max="12" width="13.875" style="25" bestFit="1" customWidth="1"/>
    <col min="13" max="13" width="0.5" style="25" customWidth="1"/>
    <col min="14" max="14" width="11.875" style="25" customWidth="1"/>
    <col min="15" max="15" width="8.625" customWidth="1"/>
    <col min="16" max="16" width="5.625" customWidth="1"/>
    <col min="17" max="17" width="13.75" customWidth="1"/>
    <col min="18" max="18" width="11.875" customWidth="1"/>
    <col min="19" max="33" width="9" style="130" customWidth="1"/>
  </cols>
  <sheetData>
    <row r="1" spans="1:18" ht="23.25" customHeight="1" x14ac:dyDescent="0.15">
      <c r="A1" s="194" t="s">
        <v>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</row>
    <row r="2" spans="1:18" x14ac:dyDescent="0.15">
      <c r="A2" s="123"/>
      <c r="B2" s="123"/>
      <c r="C2" s="124"/>
      <c r="D2" s="124"/>
      <c r="E2" s="123"/>
      <c r="F2" s="123"/>
      <c r="G2" s="123"/>
      <c r="H2" s="123"/>
      <c r="I2" s="123"/>
      <c r="J2" s="123"/>
      <c r="K2" s="124"/>
      <c r="L2" s="124"/>
      <c r="M2" s="124"/>
      <c r="N2" s="124"/>
      <c r="O2" s="123"/>
      <c r="P2" s="123"/>
      <c r="Q2" s="123"/>
      <c r="R2" s="123"/>
    </row>
    <row r="3" spans="1:18" ht="15.75" customHeight="1" thickBot="1" x14ac:dyDescent="0.2">
      <c r="B3" s="130"/>
      <c r="C3" s="10"/>
      <c r="D3" s="10"/>
      <c r="E3" s="130"/>
      <c r="F3" s="130"/>
      <c r="G3" s="130"/>
      <c r="H3" s="130"/>
      <c r="I3" s="130"/>
      <c r="J3" s="130"/>
      <c r="K3" s="10"/>
      <c r="L3" s="10"/>
      <c r="M3" s="10"/>
      <c r="N3" s="10"/>
      <c r="O3" s="130"/>
      <c r="P3" s="130"/>
      <c r="Q3" s="130"/>
      <c r="R3" s="130"/>
    </row>
    <row r="4" spans="1:18" ht="20.100000000000001" customHeight="1" x14ac:dyDescent="0.25">
      <c r="B4" s="203" t="s">
        <v>186</v>
      </c>
      <c r="C4" s="204"/>
      <c r="D4" s="204"/>
      <c r="E4" s="204"/>
      <c r="F4" s="205"/>
      <c r="H4" s="203" t="s">
        <v>184</v>
      </c>
      <c r="I4" s="204"/>
      <c r="J4" s="204"/>
      <c r="K4" s="204"/>
      <c r="L4" s="205"/>
      <c r="N4" s="203" t="s">
        <v>185</v>
      </c>
      <c r="O4" s="204"/>
      <c r="P4" s="204"/>
      <c r="Q4" s="204"/>
      <c r="R4" s="205"/>
    </row>
    <row r="5" spans="1:18" ht="20.100000000000001" customHeight="1" x14ac:dyDescent="0.15">
      <c r="B5" s="20"/>
      <c r="C5" s="2"/>
      <c r="D5" s="5"/>
      <c r="E5" s="19"/>
      <c r="F5" s="13"/>
      <c r="H5" s="20"/>
      <c r="I5" s="2"/>
      <c r="J5" s="5"/>
      <c r="K5" s="19"/>
      <c r="L5" s="13"/>
      <c r="N5" s="20"/>
      <c r="O5" s="2"/>
      <c r="P5" s="5"/>
      <c r="Q5" s="19"/>
      <c r="R5" s="13"/>
    </row>
    <row r="6" spans="1:18" ht="20.100000000000001" customHeight="1" x14ac:dyDescent="0.15">
      <c r="B6" s="196" t="s">
        <v>38</v>
      </c>
      <c r="C6" s="197"/>
      <c r="D6" s="7">
        <v>16</v>
      </c>
      <c r="E6" s="198" t="s">
        <v>180</v>
      </c>
      <c r="F6" s="199"/>
      <c r="H6" s="196" t="s">
        <v>38</v>
      </c>
      <c r="I6" s="197"/>
      <c r="J6" s="7">
        <v>20</v>
      </c>
      <c r="K6" s="206" t="s">
        <v>39</v>
      </c>
      <c r="L6" s="207"/>
      <c r="N6" s="196" t="s">
        <v>38</v>
      </c>
      <c r="O6" s="197"/>
      <c r="P6" s="7">
        <v>20</v>
      </c>
      <c r="Q6" s="206" t="s">
        <v>39</v>
      </c>
      <c r="R6" s="207"/>
    </row>
    <row r="7" spans="1:18" ht="20.100000000000001" customHeight="1" x14ac:dyDescent="0.15">
      <c r="B7" s="20"/>
      <c r="C7" s="2"/>
      <c r="D7" s="5"/>
      <c r="E7" s="19"/>
      <c r="F7" s="13"/>
      <c r="H7" s="20"/>
      <c r="I7" s="2"/>
      <c r="J7" s="5"/>
      <c r="K7" s="19"/>
      <c r="L7" s="13"/>
      <c r="M7" s="10"/>
      <c r="N7" s="20"/>
      <c r="O7" s="2"/>
      <c r="P7" s="5"/>
      <c r="Q7" s="19"/>
      <c r="R7" s="13"/>
    </row>
    <row r="8" spans="1:18" ht="20.100000000000001" customHeight="1" x14ac:dyDescent="0.15">
      <c r="B8" s="196" t="s">
        <v>35</v>
      </c>
      <c r="C8" s="197"/>
      <c r="D8" s="7">
        <v>18</v>
      </c>
      <c r="E8" s="47" t="s">
        <v>24</v>
      </c>
      <c r="F8" s="13"/>
      <c r="H8" s="196" t="s">
        <v>35</v>
      </c>
      <c r="I8" s="197"/>
      <c r="J8" s="7">
        <v>16</v>
      </c>
      <c r="K8" s="44" t="s">
        <v>24</v>
      </c>
      <c r="L8" s="13"/>
      <c r="M8" s="10"/>
      <c r="N8" s="196" t="s">
        <v>35</v>
      </c>
      <c r="O8" s="197"/>
      <c r="P8" s="7">
        <v>40</v>
      </c>
      <c r="Q8" s="44" t="s">
        <v>24</v>
      </c>
      <c r="R8" s="13"/>
    </row>
    <row r="9" spans="1:18" ht="20.100000000000001" customHeight="1" x14ac:dyDescent="0.15">
      <c r="B9" s="20"/>
      <c r="C9" s="2"/>
      <c r="D9" s="5"/>
      <c r="E9" s="19"/>
      <c r="F9" s="13"/>
      <c r="H9" s="20"/>
      <c r="I9" s="2"/>
      <c r="J9" s="5"/>
      <c r="K9" s="45"/>
      <c r="L9" s="13"/>
      <c r="M9" s="40"/>
      <c r="N9" s="20"/>
      <c r="O9" s="2"/>
      <c r="P9" s="5"/>
      <c r="Q9" s="45"/>
      <c r="R9" s="13"/>
    </row>
    <row r="10" spans="1:18" ht="20.100000000000001" customHeight="1" x14ac:dyDescent="0.15">
      <c r="B10" s="196" t="s">
        <v>44</v>
      </c>
      <c r="C10" s="197"/>
      <c r="D10" s="33">
        <f>IF(D8=0,"",IF(OR(AND(D6=12,SUM(13.5,D8)&lt;35),AND(D6=16,SUM(23.1,D8)&lt;35),AND(D6=20,SUM(26.3,D8)&lt;35)),35,IF(D6=12,SUM(13.5,D8),IF(D6=16,SUM(23.1,D8),IF(D6=20,SUM(26.3,D8),"")))))</f>
        <v>41.1</v>
      </c>
      <c r="E10" s="47" t="s">
        <v>24</v>
      </c>
      <c r="F10" s="13"/>
      <c r="H10" s="196" t="s">
        <v>44</v>
      </c>
      <c r="I10" s="197"/>
      <c r="J10" s="41">
        <f>IF(J8=0,"",IF(J6=16,SUM(28.7,J8),IF(J6=20,SUM(34.3,J8),IF(J6=22,SUM(39.2,J8),IF(J6=24,SUM(39.8,J8),"")))))</f>
        <v>50.3</v>
      </c>
      <c r="K10" s="44" t="s">
        <v>24</v>
      </c>
      <c r="L10" s="13"/>
      <c r="M10" s="40"/>
      <c r="N10" s="196" t="s">
        <v>44</v>
      </c>
      <c r="O10" s="202"/>
      <c r="P10" s="41">
        <f>IF(P8=0,"",IF(P6=16,SUM(24.7,P8),IF(P6=20,SUM(29.9,P8),IF(P6=22,SUM(33,P8),IF(P6=24,SUM(35,P8),"")))))</f>
        <v>69.900000000000006</v>
      </c>
      <c r="Q10" s="44" t="s">
        <v>24</v>
      </c>
      <c r="R10" s="13"/>
    </row>
    <row r="11" spans="1:18" ht="20.100000000000001" customHeight="1" x14ac:dyDescent="0.15">
      <c r="B11" s="11"/>
      <c r="C11" s="2"/>
      <c r="D11" s="36"/>
      <c r="E11" s="19"/>
      <c r="F11" s="13"/>
      <c r="H11" s="11"/>
      <c r="I11" s="2"/>
      <c r="J11" s="36"/>
      <c r="K11" s="45"/>
      <c r="L11" s="13"/>
      <c r="M11" s="40"/>
      <c r="N11" s="20"/>
      <c r="O11" s="2"/>
      <c r="P11" s="36"/>
      <c r="Q11" s="45"/>
      <c r="R11" s="13"/>
    </row>
    <row r="12" spans="1:18" ht="20.100000000000001" customHeight="1" x14ac:dyDescent="0.15">
      <c r="B12" s="22" t="s">
        <v>36</v>
      </c>
      <c r="C12" s="35" t="str">
        <f>IF(D10="","",IF(D6=16,"M16 ×",IF(D6=12,"M12 ×","M20 ×")))</f>
        <v>M16 ×</v>
      </c>
      <c r="D12" s="37">
        <f>IF(D10="","",IF(OR(D10=ROUND(D10,-1),D10=ROUND(D10,-1)-5),D10,IF(ROUND(D10,-1)&lt;D10,ROUND(D10,-1)+5,ROUND(D10,-1))))</f>
        <v>45</v>
      </c>
      <c r="E12" s="29" t="s">
        <v>37</v>
      </c>
      <c r="F12" s="13"/>
      <c r="H12" s="22" t="s">
        <v>36</v>
      </c>
      <c r="I12" s="35" t="str">
        <f>IF(OR(J10="",J10="false"),"",IF(J6=16,"M16 ×",IF(J6=20,"M20 ×",IF(J6=22,"M22 ×","M24 ×"))))</f>
        <v>M20 ×</v>
      </c>
      <c r="J12" s="37">
        <f>IF(OR(J10="",J10="false"),"",IF(OR(J10=ROUND(J10,-1),J10=ROUND(J10,-1)-5),J10,IF(ROUND(J10,-1)&lt;J10,ROUND(J10,-1)+5,ROUND(J10,-1))))</f>
        <v>55</v>
      </c>
      <c r="K12" s="46" t="s">
        <v>37</v>
      </c>
      <c r="L12" s="13"/>
      <c r="M12" s="40"/>
      <c r="N12" s="22" t="s">
        <v>36</v>
      </c>
      <c r="O12" s="35" t="str">
        <f>IF(OR(P10="",P10="false"),"",IF(P6=16,"M16 ×",IF(P6=20,"M20 ×",IF(P6=22,"M22 ×","M24 ×"))))</f>
        <v>M20 ×</v>
      </c>
      <c r="P12" s="37">
        <f>IF(P10="","",IF(OR(P10=ROUND(P10,-1),P10=ROUND(P10,-1)-5),P10,IF(ROUND(P10,-1)&lt;P10,ROUND(P10,-1)+5,ROUND(P10,-1))))</f>
        <v>70</v>
      </c>
      <c r="Q12" s="46" t="s">
        <v>37</v>
      </c>
      <c r="R12" s="13"/>
    </row>
    <row r="13" spans="1:18" ht="20.100000000000001" customHeight="1" x14ac:dyDescent="0.15">
      <c r="B13" s="20"/>
      <c r="C13" s="2"/>
      <c r="D13" s="36"/>
      <c r="E13" s="19"/>
      <c r="F13" s="13"/>
      <c r="H13" s="20"/>
      <c r="I13" s="2"/>
      <c r="J13" s="36"/>
      <c r="K13" s="45"/>
      <c r="L13" s="13"/>
      <c r="M13" s="10"/>
      <c r="N13" s="20"/>
      <c r="O13" s="2"/>
      <c r="P13" s="36"/>
      <c r="Q13" s="45"/>
      <c r="R13" s="13"/>
    </row>
    <row r="14" spans="1:18" ht="20.100000000000001" customHeight="1" x14ac:dyDescent="0.15">
      <c r="B14" s="200" t="s">
        <v>181</v>
      </c>
      <c r="C14" s="201"/>
      <c r="D14" s="38">
        <f>IF(D12="","",IF(D6=12,D12-(D8+2.7),D12-(D8+3.3)))</f>
        <v>23.7</v>
      </c>
      <c r="E14" s="47" t="s">
        <v>24</v>
      </c>
      <c r="F14" s="13"/>
      <c r="H14" s="200" t="s">
        <v>181</v>
      </c>
      <c r="I14" s="201"/>
      <c r="J14" s="38">
        <f>IF(J12="","",IF(J6=16,J12-(J8+6.6),IF(J6=20,J12-(J8+8.6),J12-(J8+10.6))))</f>
        <v>30.4</v>
      </c>
      <c r="K14" s="44" t="s">
        <v>24</v>
      </c>
      <c r="L14" s="13"/>
      <c r="M14" s="10"/>
      <c r="N14" s="200" t="s">
        <v>181</v>
      </c>
      <c r="O14" s="201"/>
      <c r="P14" s="38">
        <f>IF(P12="","",IF(P6=16,P12-(P8+6.6),IF(P6=20,P12-(P8+8.6),P12-(P8+10.6))))</f>
        <v>21.4</v>
      </c>
      <c r="Q14" s="44" t="s">
        <v>24</v>
      </c>
      <c r="R14" s="13"/>
    </row>
    <row r="15" spans="1:18" ht="6" customHeight="1" x14ac:dyDescent="0.15">
      <c r="B15" s="22"/>
      <c r="C15" s="8"/>
      <c r="D15" s="34"/>
      <c r="E15" s="27"/>
      <c r="F15" s="13"/>
      <c r="H15" s="22"/>
      <c r="I15" s="8"/>
      <c r="J15" s="34"/>
      <c r="K15" s="44"/>
      <c r="L15" s="13"/>
      <c r="M15" s="10"/>
      <c r="N15" s="22"/>
      <c r="O15" s="8"/>
      <c r="P15" s="34"/>
      <c r="Q15" s="44"/>
      <c r="R15" s="13"/>
    </row>
    <row r="16" spans="1:18" ht="7.5" customHeight="1" thickBot="1" x14ac:dyDescent="0.2">
      <c r="B16" s="4"/>
      <c r="C16" s="32"/>
      <c r="D16" s="32"/>
      <c r="E16" s="3"/>
      <c r="F16" s="1"/>
      <c r="H16" s="4"/>
      <c r="I16" s="32"/>
      <c r="J16" s="32"/>
      <c r="K16" s="3"/>
      <c r="L16" s="1"/>
      <c r="N16" s="4"/>
      <c r="O16" s="32"/>
      <c r="P16" s="32"/>
      <c r="Q16" s="3"/>
      <c r="R16" s="1"/>
    </row>
    <row r="17" spans="1:33" s="130" customFormat="1" x14ac:dyDescent="0.15">
      <c r="C17" s="10"/>
      <c r="D17" s="10"/>
      <c r="K17" s="10"/>
      <c r="L17" s="10"/>
      <c r="M17" s="10"/>
      <c r="N17" s="10"/>
    </row>
    <row r="18" spans="1:33" s="9" customFormat="1" ht="28.5" customHeight="1" x14ac:dyDescent="0.15">
      <c r="A18" s="14"/>
      <c r="B18" s="194" t="s">
        <v>183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26"/>
      <c r="M18" s="126"/>
      <c r="N18" s="126"/>
      <c r="O18" s="125"/>
      <c r="P18" s="125"/>
      <c r="Q18" s="125"/>
      <c r="R18" s="12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s="130" customFormat="1" x14ac:dyDescent="0.15">
      <c r="C19" s="10"/>
      <c r="D19" s="10"/>
      <c r="K19" s="10"/>
      <c r="L19" s="10"/>
      <c r="M19" s="10"/>
      <c r="N19" s="10"/>
    </row>
    <row r="20" spans="1:33" s="130" customFormat="1" x14ac:dyDescent="0.15">
      <c r="C20" s="10"/>
      <c r="D20" s="10"/>
      <c r="K20" s="10"/>
      <c r="L20" s="10"/>
      <c r="M20" s="10"/>
      <c r="N20" s="10"/>
    </row>
    <row r="21" spans="1:33" s="130" customFormat="1" x14ac:dyDescent="0.15">
      <c r="C21" s="10"/>
      <c r="D21" s="10"/>
      <c r="K21" s="10"/>
      <c r="L21" s="10"/>
      <c r="M21" s="10"/>
      <c r="N21" s="10"/>
    </row>
    <row r="22" spans="1:33" s="130" customFormat="1" x14ac:dyDescent="0.15">
      <c r="C22" s="10"/>
      <c r="D22" s="10"/>
      <c r="K22" s="10"/>
      <c r="L22" s="10"/>
      <c r="M22" s="10"/>
      <c r="N22" s="10"/>
    </row>
    <row r="23" spans="1:33" s="130" customFormat="1" x14ac:dyDescent="0.15">
      <c r="C23" s="10"/>
      <c r="D23" s="10"/>
      <c r="K23" s="10"/>
      <c r="L23" s="10"/>
      <c r="M23" s="10"/>
      <c r="N23" s="10"/>
    </row>
    <row r="24" spans="1:33" s="130" customFormat="1" x14ac:dyDescent="0.15">
      <c r="C24" s="10"/>
      <c r="D24" s="10"/>
      <c r="K24" s="10"/>
      <c r="L24" s="10"/>
      <c r="M24" s="10"/>
      <c r="N24" s="10"/>
    </row>
    <row r="25" spans="1:33" s="130" customFormat="1" x14ac:dyDescent="0.15">
      <c r="C25" s="10"/>
      <c r="D25" s="10"/>
      <c r="K25" s="10"/>
      <c r="L25" s="10"/>
      <c r="M25" s="10"/>
      <c r="N25" s="10"/>
    </row>
    <row r="26" spans="1:33" s="130" customFormat="1" x14ac:dyDescent="0.15">
      <c r="C26" s="10"/>
      <c r="D26" s="10"/>
      <c r="K26" s="10"/>
      <c r="L26" s="10"/>
      <c r="M26" s="10"/>
      <c r="N26" s="10"/>
    </row>
    <row r="27" spans="1:33" s="130" customFormat="1" x14ac:dyDescent="0.15">
      <c r="C27" s="10"/>
      <c r="D27" s="10"/>
      <c r="K27" s="10"/>
      <c r="L27" s="10"/>
      <c r="M27" s="10"/>
      <c r="N27" s="10"/>
    </row>
    <row r="28" spans="1:33" s="130" customFormat="1" x14ac:dyDescent="0.15">
      <c r="C28" s="10"/>
      <c r="D28" s="10"/>
      <c r="K28" s="10"/>
      <c r="L28" s="10"/>
      <c r="M28" s="10"/>
      <c r="N28" s="10"/>
    </row>
    <row r="29" spans="1:33" s="130" customFormat="1" x14ac:dyDescent="0.15">
      <c r="C29" s="10"/>
      <c r="D29" s="10"/>
      <c r="K29" s="10"/>
      <c r="L29" s="10"/>
      <c r="M29" s="10"/>
      <c r="N29" s="10"/>
    </row>
    <row r="30" spans="1:33" s="130" customFormat="1" x14ac:dyDescent="0.15">
      <c r="C30" s="10"/>
      <c r="D30" s="10"/>
      <c r="K30" s="10"/>
      <c r="L30" s="10"/>
      <c r="M30" s="10"/>
      <c r="N30" s="10"/>
    </row>
    <row r="31" spans="1:33" s="130" customFormat="1" x14ac:dyDescent="0.15">
      <c r="C31" s="10"/>
      <c r="D31" s="10"/>
      <c r="K31" s="10"/>
      <c r="L31" s="10"/>
      <c r="M31" s="10"/>
      <c r="N31" s="10"/>
    </row>
    <row r="32" spans="1:33" s="130" customFormat="1" x14ac:dyDescent="0.15">
      <c r="C32" s="10"/>
      <c r="D32" s="10"/>
      <c r="K32" s="10"/>
      <c r="L32" s="10"/>
      <c r="M32" s="10"/>
      <c r="N32" s="10"/>
    </row>
    <row r="33" spans="3:14" s="130" customFormat="1" x14ac:dyDescent="0.15">
      <c r="C33" s="10"/>
      <c r="D33" s="10"/>
      <c r="K33" s="10"/>
      <c r="L33" s="10"/>
      <c r="M33" s="10"/>
      <c r="N33" s="10"/>
    </row>
    <row r="34" spans="3:14" s="130" customFormat="1" x14ac:dyDescent="0.15">
      <c r="C34" s="10"/>
      <c r="D34" s="10"/>
      <c r="K34" s="10"/>
      <c r="L34" s="10"/>
      <c r="M34" s="10"/>
      <c r="N34" s="10"/>
    </row>
    <row r="35" spans="3:14" s="130" customFormat="1" x14ac:dyDescent="0.15">
      <c r="C35" s="10"/>
      <c r="D35" s="10"/>
      <c r="K35" s="10"/>
      <c r="L35" s="10"/>
      <c r="M35" s="10"/>
      <c r="N35" s="10"/>
    </row>
    <row r="36" spans="3:14" s="130" customFormat="1" x14ac:dyDescent="0.15">
      <c r="C36" s="10"/>
      <c r="D36" s="10"/>
      <c r="K36" s="10"/>
      <c r="L36" s="10"/>
      <c r="M36" s="10"/>
      <c r="N36" s="10"/>
    </row>
    <row r="37" spans="3:14" s="130" customFormat="1" x14ac:dyDescent="0.15">
      <c r="C37" s="10"/>
      <c r="D37" s="10"/>
      <c r="K37" s="10"/>
      <c r="L37" s="10"/>
      <c r="M37" s="10"/>
      <c r="N37" s="10"/>
    </row>
    <row r="38" spans="3:14" s="130" customFormat="1" x14ac:dyDescent="0.15">
      <c r="C38" s="10"/>
      <c r="D38" s="10"/>
      <c r="K38" s="10"/>
      <c r="L38" s="10"/>
      <c r="M38" s="10"/>
      <c r="N38" s="10"/>
    </row>
    <row r="39" spans="3:14" s="130" customFormat="1" x14ac:dyDescent="0.15">
      <c r="C39" s="10"/>
      <c r="D39" s="10"/>
      <c r="K39" s="10"/>
      <c r="L39" s="10"/>
      <c r="M39" s="10"/>
      <c r="N39" s="10"/>
    </row>
    <row r="40" spans="3:14" s="130" customFormat="1" x14ac:dyDescent="0.15">
      <c r="C40" s="10"/>
      <c r="D40" s="10"/>
      <c r="K40" s="10"/>
      <c r="L40" s="10"/>
      <c r="M40" s="10"/>
      <c r="N40" s="10"/>
    </row>
    <row r="41" spans="3:14" s="130" customFormat="1" x14ac:dyDescent="0.15">
      <c r="C41" s="10"/>
      <c r="D41" s="10"/>
      <c r="K41" s="10"/>
      <c r="L41" s="10"/>
      <c r="M41" s="10"/>
      <c r="N41" s="10"/>
    </row>
    <row r="42" spans="3:14" s="130" customFormat="1" x14ac:dyDescent="0.15">
      <c r="C42" s="10"/>
      <c r="D42" s="10"/>
      <c r="K42" s="10"/>
      <c r="L42" s="10"/>
      <c r="M42" s="10"/>
      <c r="N42" s="10"/>
    </row>
    <row r="43" spans="3:14" s="130" customFormat="1" x14ac:dyDescent="0.15">
      <c r="C43" s="10"/>
      <c r="D43" s="10"/>
      <c r="K43" s="10"/>
      <c r="L43" s="10"/>
      <c r="M43" s="10"/>
      <c r="N43" s="10"/>
    </row>
    <row r="44" spans="3:14" s="130" customFormat="1" x14ac:dyDescent="0.15">
      <c r="C44" s="10"/>
      <c r="D44" s="10"/>
      <c r="K44" s="10"/>
      <c r="L44" s="10"/>
      <c r="M44" s="10"/>
      <c r="N44" s="10"/>
    </row>
    <row r="45" spans="3:14" s="130" customFormat="1" x14ac:dyDescent="0.15">
      <c r="C45" s="10"/>
      <c r="D45" s="10"/>
      <c r="K45" s="10"/>
      <c r="L45" s="10"/>
      <c r="M45" s="10"/>
      <c r="N45" s="10"/>
    </row>
  </sheetData>
  <mergeCells count="20">
    <mergeCell ref="B18:K18"/>
    <mergeCell ref="N10:O10"/>
    <mergeCell ref="N14:O14"/>
    <mergeCell ref="A1:R1"/>
    <mergeCell ref="N4:R4"/>
    <mergeCell ref="N6:O6"/>
    <mergeCell ref="Q6:R6"/>
    <mergeCell ref="N8:O8"/>
    <mergeCell ref="K6:L6"/>
    <mergeCell ref="H8:I8"/>
    <mergeCell ref="H4:L4"/>
    <mergeCell ref="H6:I6"/>
    <mergeCell ref="B4:F4"/>
    <mergeCell ref="B8:C8"/>
    <mergeCell ref="B6:C6"/>
    <mergeCell ref="E6:F6"/>
    <mergeCell ref="H10:I10"/>
    <mergeCell ref="H14:I14"/>
    <mergeCell ref="B10:C10"/>
    <mergeCell ref="B14:C14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workbookViewId="0">
      <selection activeCell="M65" sqref="M65"/>
    </sheetView>
  </sheetViews>
  <sheetFormatPr defaultRowHeight="14.25" x14ac:dyDescent="0.15"/>
  <cols>
    <col min="1" max="1" width="3.75" style="9" customWidth="1"/>
    <col min="2" max="2" width="9.375" style="9" customWidth="1"/>
    <col min="3" max="3" width="15.5" style="9" customWidth="1"/>
    <col min="4" max="4" width="12.375" style="9" customWidth="1"/>
    <col min="5" max="5" width="6.25" style="9" customWidth="1"/>
    <col min="6" max="6" width="7.5" style="9" customWidth="1"/>
    <col min="7" max="7" width="6.5" style="9" customWidth="1"/>
    <col min="8" max="8" width="6.75" style="9" customWidth="1"/>
    <col min="9" max="9" width="7.875" style="9" customWidth="1"/>
    <col min="10" max="10" width="15.125" style="9" customWidth="1"/>
    <col min="11" max="16384" width="9" style="9"/>
  </cols>
  <sheetData>
    <row r="1" spans="1:17" ht="25.5" customHeight="1" x14ac:dyDescent="0.15">
      <c r="A1" s="194" t="s">
        <v>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7" ht="15" thickBot="1" x14ac:dyDescent="0.2"/>
    <row r="3" spans="1:17" ht="18" x14ac:dyDescent="0.15">
      <c r="B3" s="226" t="s">
        <v>21</v>
      </c>
      <c r="C3" s="227"/>
      <c r="D3" s="227"/>
      <c r="E3" s="227"/>
      <c r="F3" s="228"/>
      <c r="H3" s="229" t="s">
        <v>22</v>
      </c>
      <c r="I3" s="230"/>
      <c r="J3" s="230"/>
      <c r="K3" s="230"/>
      <c r="L3" s="231"/>
    </row>
    <row r="4" spans="1:17" ht="20.100000000000001" customHeight="1" x14ac:dyDescent="0.15">
      <c r="B4" s="20"/>
      <c r="C4" s="2"/>
      <c r="D4" s="19"/>
      <c r="E4" s="19"/>
      <c r="F4" s="13"/>
      <c r="H4" s="102"/>
      <c r="I4" s="100"/>
      <c r="J4" s="71"/>
      <c r="K4" s="71"/>
      <c r="L4" s="103"/>
    </row>
    <row r="5" spans="1:17" ht="20.100000000000001" customHeight="1" x14ac:dyDescent="0.15">
      <c r="B5" s="20"/>
      <c r="C5" s="2" t="s">
        <v>23</v>
      </c>
      <c r="D5" s="26">
        <v>0.47599999999999998</v>
      </c>
      <c r="E5" s="27" t="s">
        <v>25</v>
      </c>
      <c r="F5" s="13"/>
      <c r="H5" s="20"/>
      <c r="I5" s="2" t="s">
        <v>23</v>
      </c>
      <c r="J5" s="26">
        <v>0.47599999999999998</v>
      </c>
      <c r="K5" s="27" t="s">
        <v>25</v>
      </c>
      <c r="L5" s="13"/>
    </row>
    <row r="6" spans="1:17" ht="20.100000000000001" customHeight="1" x14ac:dyDescent="0.15">
      <c r="B6" s="20"/>
      <c r="C6" s="2"/>
      <c r="D6" s="19"/>
      <c r="E6" s="19"/>
      <c r="F6" s="13"/>
      <c r="H6" s="20"/>
      <c r="I6" s="2"/>
      <c r="J6" s="19"/>
      <c r="K6" s="5"/>
      <c r="L6" s="13"/>
    </row>
    <row r="7" spans="1:17" ht="20.100000000000001" customHeight="1" x14ac:dyDescent="0.15">
      <c r="B7" s="20"/>
      <c r="C7" s="2" t="s">
        <v>26</v>
      </c>
      <c r="D7" s="26">
        <v>0.76</v>
      </c>
      <c r="E7" s="27" t="s">
        <v>27</v>
      </c>
      <c r="F7" s="13"/>
      <c r="H7" s="20"/>
      <c r="I7" s="2" t="s">
        <v>26</v>
      </c>
      <c r="J7" s="26">
        <v>0.82</v>
      </c>
      <c r="K7" s="27" t="s">
        <v>27</v>
      </c>
      <c r="L7" s="13"/>
    </row>
    <row r="8" spans="1:17" ht="20.100000000000001" customHeight="1" x14ac:dyDescent="0.15">
      <c r="B8" s="20"/>
      <c r="C8" s="2"/>
      <c r="D8" s="19"/>
      <c r="E8" s="19"/>
      <c r="F8" s="13"/>
      <c r="H8" s="20"/>
      <c r="I8" s="2"/>
      <c r="J8" s="19"/>
      <c r="K8" s="5"/>
      <c r="L8" s="13"/>
    </row>
    <row r="9" spans="1:17" ht="20.100000000000001" customHeight="1" x14ac:dyDescent="0.15">
      <c r="B9" s="20"/>
      <c r="C9" s="2" t="s">
        <v>216</v>
      </c>
      <c r="D9" s="26">
        <v>7700</v>
      </c>
      <c r="E9" s="27" t="s">
        <v>28</v>
      </c>
      <c r="F9" s="13"/>
      <c r="H9" s="20"/>
      <c r="I9" s="2" t="s">
        <v>29</v>
      </c>
      <c r="J9" s="26">
        <v>2455</v>
      </c>
      <c r="K9" s="28" t="s">
        <v>30</v>
      </c>
      <c r="L9" s="13"/>
    </row>
    <row r="10" spans="1:17" ht="20.100000000000001" customHeight="1" x14ac:dyDescent="0.15">
      <c r="B10" s="20"/>
      <c r="C10" s="2"/>
      <c r="D10" s="19"/>
      <c r="E10" s="19"/>
      <c r="F10" s="13"/>
      <c r="H10" s="104"/>
      <c r="I10" s="101"/>
      <c r="J10" s="77"/>
      <c r="K10" s="111"/>
      <c r="L10" s="105"/>
    </row>
    <row r="11" spans="1:17" ht="20.100000000000001" customHeight="1" x14ac:dyDescent="0.15">
      <c r="B11" s="20"/>
      <c r="C11" s="2" t="s">
        <v>31</v>
      </c>
      <c r="D11" s="26">
        <v>5</v>
      </c>
      <c r="E11" s="5" t="s">
        <v>32</v>
      </c>
      <c r="F11" s="13"/>
      <c r="H11" s="20"/>
      <c r="I11" s="2"/>
      <c r="J11" s="19"/>
      <c r="K11" s="5"/>
      <c r="L11" s="13"/>
    </row>
    <row r="12" spans="1:17" ht="20.100000000000001" customHeight="1" x14ac:dyDescent="0.15">
      <c r="B12" s="20"/>
      <c r="C12" s="2"/>
      <c r="D12" s="19"/>
      <c r="E12" s="19"/>
      <c r="F12" s="13"/>
      <c r="H12" s="20"/>
      <c r="I12" s="8" t="s">
        <v>33</v>
      </c>
      <c r="J12" s="31">
        <f>IF(J5="","",IF(J7="","",IF(J7=0,"",IF(J9="","",ROUND(J5*7.85*J9/(J7*1000),2)))))</f>
        <v>11.19</v>
      </c>
      <c r="K12" s="5" t="s">
        <v>34</v>
      </c>
      <c r="L12" s="13"/>
      <c r="O12" s="14"/>
      <c r="P12" s="23"/>
      <c r="Q12" s="14"/>
    </row>
    <row r="13" spans="1:17" ht="20.100000000000001" customHeight="1" thickBot="1" x14ac:dyDescent="0.2">
      <c r="B13" s="20"/>
      <c r="C13" s="8" t="s">
        <v>41</v>
      </c>
      <c r="D13" s="91">
        <f>IF(D5="","",IF(D7="","",IF(D9="","",IF(D11="","",IF(D7=0,"",ROUND(D5*7.85*D9/(D7*1000)+D11,1))))))</f>
        <v>42.9</v>
      </c>
      <c r="E13" s="5" t="s">
        <v>32</v>
      </c>
      <c r="F13" s="13"/>
      <c r="H13" s="15"/>
      <c r="I13" s="16"/>
      <c r="J13" s="16"/>
      <c r="K13" s="16"/>
      <c r="L13" s="17"/>
      <c r="O13" s="14"/>
      <c r="P13" s="93"/>
      <c r="Q13" s="14"/>
    </row>
    <row r="14" spans="1:17" ht="20.100000000000001" customHeight="1" thickBot="1" x14ac:dyDescent="0.2">
      <c r="B14" s="15"/>
      <c r="C14" s="95"/>
      <c r="D14" s="96"/>
      <c r="E14" s="97"/>
      <c r="F14" s="17"/>
      <c r="O14" s="14"/>
      <c r="P14" s="98"/>
      <c r="Q14" s="14"/>
    </row>
    <row r="15" spans="1:17" ht="20.100000000000001" customHeight="1" x14ac:dyDescent="0.15">
      <c r="B15" s="23"/>
      <c r="C15" s="92"/>
      <c r="D15" s="93"/>
      <c r="E15" s="94"/>
      <c r="F15" s="23"/>
      <c r="O15" s="14"/>
      <c r="P15" s="106"/>
      <c r="Q15" s="14"/>
    </row>
    <row r="17" spans="2:10" ht="24" customHeight="1" x14ac:dyDescent="0.15">
      <c r="B17" s="234" t="s">
        <v>129</v>
      </c>
      <c r="C17" s="234"/>
      <c r="D17" s="234"/>
      <c r="E17" s="234"/>
      <c r="F17" s="234"/>
      <c r="G17" s="234"/>
      <c r="H17" s="234"/>
      <c r="I17" s="234"/>
      <c r="J17" s="234"/>
    </row>
    <row r="18" spans="2:10" ht="5.25" customHeight="1" x14ac:dyDescent="0.15">
      <c r="B18" s="53"/>
      <c r="C18" s="53"/>
      <c r="D18" s="53"/>
      <c r="E18" s="53"/>
      <c r="F18" s="53"/>
      <c r="G18" s="53"/>
      <c r="H18" s="53"/>
      <c r="I18" s="53"/>
      <c r="J18" s="53"/>
    </row>
    <row r="19" spans="2:10" ht="20.100000000000001" customHeight="1" x14ac:dyDescent="0.15">
      <c r="B19" s="232" t="s">
        <v>217</v>
      </c>
      <c r="C19" s="232"/>
      <c r="D19" s="26">
        <v>2</v>
      </c>
      <c r="E19" s="53"/>
      <c r="F19" s="53" t="s">
        <v>68</v>
      </c>
      <c r="G19" s="26">
        <v>820</v>
      </c>
      <c r="H19" s="208" t="s">
        <v>69</v>
      </c>
      <c r="I19" s="235"/>
      <c r="J19" s="235"/>
    </row>
    <row r="20" spans="2:10" ht="6.75" customHeight="1" x14ac:dyDescent="0.15">
      <c r="B20" s="54"/>
      <c r="C20" s="54"/>
      <c r="D20" s="19"/>
      <c r="E20" s="53"/>
      <c r="F20" s="53"/>
      <c r="G20" s="19"/>
      <c r="H20" s="19"/>
      <c r="I20" s="53"/>
      <c r="J20" s="53"/>
    </row>
    <row r="21" spans="2:10" ht="20.100000000000001" customHeight="1" x14ac:dyDescent="0.15">
      <c r="B21" s="236" t="s">
        <v>62</v>
      </c>
      <c r="C21" s="236"/>
      <c r="D21" s="26">
        <v>36400</v>
      </c>
      <c r="E21" s="53" t="s">
        <v>66</v>
      </c>
      <c r="F21" s="236" t="s">
        <v>70</v>
      </c>
      <c r="G21" s="236"/>
      <c r="H21" s="236"/>
      <c r="I21" s="236"/>
      <c r="J21" s="53"/>
    </row>
    <row r="22" spans="2:10" ht="6" customHeight="1" x14ac:dyDescent="0.15">
      <c r="B22" s="53"/>
      <c r="C22" s="53"/>
      <c r="D22" s="53"/>
      <c r="E22" s="53"/>
      <c r="F22" s="53"/>
      <c r="G22" s="53"/>
      <c r="H22" s="53"/>
      <c r="I22" s="53"/>
      <c r="J22" s="53"/>
    </row>
    <row r="23" spans="2:10" ht="20.100000000000001" customHeight="1" x14ac:dyDescent="0.15">
      <c r="B23" s="232" t="s">
        <v>63</v>
      </c>
      <c r="C23" s="202"/>
      <c r="D23" s="26">
        <v>240.88</v>
      </c>
      <c r="E23" s="53" t="s">
        <v>65</v>
      </c>
      <c r="F23" s="236" t="s">
        <v>64</v>
      </c>
      <c r="G23" s="236"/>
      <c r="H23" s="236"/>
      <c r="I23" s="53"/>
      <c r="J23" s="53"/>
    </row>
    <row r="24" spans="2:10" ht="5.25" customHeight="1" x14ac:dyDescent="0.15">
      <c r="B24" s="54"/>
      <c r="C24" s="54"/>
      <c r="D24" s="53"/>
      <c r="E24" s="53"/>
      <c r="F24" s="53"/>
      <c r="G24" s="53"/>
      <c r="H24" s="53"/>
      <c r="I24" s="53"/>
      <c r="J24" s="53"/>
    </row>
    <row r="25" spans="2:10" ht="19.5" customHeight="1" x14ac:dyDescent="0.15">
      <c r="B25" s="54"/>
      <c r="C25" s="69" t="s">
        <v>81</v>
      </c>
      <c r="D25" s="63">
        <f>IF(OR(D19="",G19="",D21="",D23="",D19=0,G19=0,D21=0,D23=0),"",IF(1000*D23/G19&gt;ROUND(1000*D23/G19,0),D23*D21*D19/1000,ROUND(1000*D23/G19,0)*G19*D19*D21/10^6))</f>
        <v>17550.624</v>
      </c>
      <c r="E25" s="53" t="s">
        <v>71</v>
      </c>
      <c r="F25" s="53"/>
      <c r="G25" s="53"/>
      <c r="H25" s="53"/>
      <c r="I25" s="53"/>
      <c r="J25" s="53"/>
    </row>
    <row r="26" spans="2:10" ht="6" customHeight="1" x14ac:dyDescent="0.15">
      <c r="B26" s="54"/>
      <c r="C26" s="54"/>
      <c r="D26" s="64"/>
      <c r="E26" s="53"/>
      <c r="F26" s="53"/>
      <c r="G26" s="53"/>
      <c r="H26" s="53"/>
      <c r="I26" s="53"/>
      <c r="J26" s="53"/>
    </row>
    <row r="27" spans="2:10" ht="20.100000000000001" customHeight="1" x14ac:dyDescent="0.15">
      <c r="B27" s="233" t="s">
        <v>73</v>
      </c>
      <c r="C27" s="202"/>
      <c r="D27" s="65">
        <f>IF(OR(D19="",G19="",D21="",D23="",D19=0,G19=0,D21=0,D23=0),"",1000*D23/G19)</f>
        <v>293.7560975609756</v>
      </c>
      <c r="E27" s="53" t="s">
        <v>67</v>
      </c>
      <c r="F27" s="232"/>
      <c r="G27" s="232"/>
      <c r="H27" s="53"/>
      <c r="I27" s="53"/>
      <c r="J27" s="53"/>
    </row>
    <row r="28" spans="2:10" ht="6" customHeight="1" x14ac:dyDescent="0.15">
      <c r="B28" s="54"/>
      <c r="C28" s="2"/>
      <c r="D28" s="66"/>
      <c r="E28" s="53"/>
      <c r="F28" s="53"/>
      <c r="G28" s="53"/>
      <c r="H28" s="53"/>
      <c r="I28" s="53"/>
      <c r="J28" s="53"/>
    </row>
    <row r="29" spans="2:10" ht="20.100000000000001" customHeight="1" x14ac:dyDescent="0.15">
      <c r="B29" s="53"/>
      <c r="C29" s="56" t="s">
        <v>74</v>
      </c>
      <c r="D29" s="58">
        <f>IF(D27="","",D19*TRUNC(D27,0)+ROUND((D27-TRUNC(D27,0)),0)*D19)</f>
        <v>588</v>
      </c>
      <c r="E29" s="133" t="str">
        <f>IF(D29="","","张 ×")</f>
        <v>张 ×</v>
      </c>
      <c r="F29" s="57">
        <f>IF(D29="","",D21)</f>
        <v>36400</v>
      </c>
      <c r="G29" s="57" t="str">
        <f>IF(D29="","","mm/张")</f>
        <v>mm/张</v>
      </c>
      <c r="H29" s="59">
        <f>IF(D29="","",G19)</f>
        <v>820</v>
      </c>
      <c r="I29" s="64" t="s">
        <v>75</v>
      </c>
      <c r="J29" s="53"/>
    </row>
    <row r="30" spans="2:10" ht="3.75" customHeight="1" x14ac:dyDescent="0.15">
      <c r="B30" s="53"/>
      <c r="C30" s="56"/>
      <c r="D30" s="60"/>
      <c r="E30" s="61"/>
      <c r="F30" s="61"/>
      <c r="G30" s="61"/>
      <c r="H30" s="62"/>
      <c r="I30" s="61"/>
      <c r="J30" s="53"/>
    </row>
    <row r="31" spans="2:10" ht="20.100000000000001" customHeight="1" x14ac:dyDescent="0.15">
      <c r="B31" s="53"/>
      <c r="C31" s="68" t="s">
        <v>72</v>
      </c>
      <c r="D31" s="67">
        <f>IF(OR(D29="",F29="",H29=""),"",ROUND(D29*F29*H29/10^6,2))</f>
        <v>17550.62</v>
      </c>
      <c r="E31" s="53" t="s">
        <v>71</v>
      </c>
      <c r="F31" s="240" t="s">
        <v>82</v>
      </c>
      <c r="G31" s="240"/>
      <c r="H31" s="240"/>
      <c r="I31" s="240"/>
      <c r="J31" s="53"/>
    </row>
    <row r="32" spans="2:10" ht="3.75" customHeight="1" x14ac:dyDescent="0.15">
      <c r="B32" s="53"/>
      <c r="C32" s="53"/>
      <c r="D32" s="53"/>
      <c r="E32" s="53"/>
      <c r="F32" s="53"/>
      <c r="G32" s="53"/>
      <c r="H32" s="53"/>
      <c r="I32" s="53"/>
      <c r="J32" s="53"/>
    </row>
    <row r="33" spans="2:13" ht="20.100000000000001" customHeight="1" x14ac:dyDescent="0.15">
      <c r="B33" s="236" t="s">
        <v>190</v>
      </c>
      <c r="C33" s="236"/>
      <c r="D33" s="236"/>
      <c r="E33" s="236"/>
      <c r="F33" s="236"/>
      <c r="G33" s="236"/>
      <c r="H33" s="236"/>
      <c r="I33" s="236"/>
      <c r="J33" s="236"/>
    </row>
    <row r="34" spans="2:13" ht="3.75" customHeight="1" x14ac:dyDescent="0.15">
      <c r="B34" s="70"/>
      <c r="C34" s="71"/>
      <c r="D34" s="71"/>
      <c r="E34" s="71"/>
      <c r="F34" s="72"/>
      <c r="G34" s="53"/>
      <c r="H34" s="53"/>
      <c r="I34" s="53"/>
      <c r="J34" s="53"/>
    </row>
    <row r="35" spans="2:13" ht="20.100000000000001" customHeight="1" x14ac:dyDescent="0.15">
      <c r="B35" s="225" t="s">
        <v>76</v>
      </c>
      <c r="C35" s="197"/>
      <c r="D35" s="26"/>
      <c r="E35" s="19" t="s">
        <v>83</v>
      </c>
      <c r="F35" s="73"/>
      <c r="G35" s="239" t="s">
        <v>187</v>
      </c>
      <c r="H35" s="236"/>
      <c r="I35" s="236"/>
      <c r="J35" s="53"/>
    </row>
    <row r="36" spans="2:13" ht="3.75" customHeight="1" x14ac:dyDescent="0.15">
      <c r="B36" s="55"/>
      <c r="C36" s="19"/>
      <c r="D36" s="19"/>
      <c r="E36" s="19"/>
      <c r="F36" s="73"/>
      <c r="G36" s="236"/>
      <c r="H36" s="236"/>
      <c r="I36" s="236"/>
      <c r="J36" s="53"/>
    </row>
    <row r="37" spans="2:13" ht="20.100000000000001" customHeight="1" x14ac:dyDescent="0.15">
      <c r="B37" s="225" t="s">
        <v>77</v>
      </c>
      <c r="C37" s="197"/>
      <c r="D37" s="26"/>
      <c r="E37" s="19" t="s">
        <v>71</v>
      </c>
      <c r="F37" s="73"/>
      <c r="G37" s="236"/>
      <c r="H37" s="236"/>
      <c r="I37" s="236"/>
      <c r="J37" s="53"/>
      <c r="L37" s="9" t="s">
        <v>189</v>
      </c>
      <c r="M37" s="9" t="s">
        <v>188</v>
      </c>
    </row>
    <row r="38" spans="2:13" ht="3.75" customHeight="1" x14ac:dyDescent="0.15">
      <c r="B38" s="55"/>
      <c r="C38" s="19"/>
      <c r="D38" s="19"/>
      <c r="E38" s="19"/>
      <c r="F38" s="73"/>
      <c r="G38" s="236"/>
      <c r="H38" s="236"/>
      <c r="I38" s="236"/>
      <c r="J38" s="53"/>
    </row>
    <row r="39" spans="2:13" ht="20.100000000000001" customHeight="1" x14ac:dyDescent="0.15">
      <c r="B39" s="225" t="s">
        <v>78</v>
      </c>
      <c r="C39" s="197"/>
      <c r="D39" s="26"/>
      <c r="E39" s="19" t="s">
        <v>71</v>
      </c>
      <c r="F39" s="73"/>
      <c r="G39" s="236"/>
      <c r="H39" s="236"/>
      <c r="I39" s="236"/>
      <c r="J39" s="53"/>
    </row>
    <row r="40" spans="2:13" ht="5.25" customHeight="1" x14ac:dyDescent="0.15">
      <c r="B40" s="55"/>
      <c r="C40" s="19"/>
      <c r="D40" s="19"/>
      <c r="E40" s="19"/>
      <c r="F40" s="73"/>
      <c r="G40" s="236"/>
      <c r="H40" s="236"/>
      <c r="I40" s="236"/>
      <c r="J40" s="53"/>
    </row>
    <row r="41" spans="2:13" ht="20.100000000000001" customHeight="1" x14ac:dyDescent="0.15">
      <c r="B41" s="225" t="s">
        <v>79</v>
      </c>
      <c r="C41" s="197"/>
      <c r="D41" s="26"/>
      <c r="E41" s="19" t="s">
        <v>71</v>
      </c>
      <c r="F41" s="73"/>
      <c r="G41" s="236"/>
      <c r="H41" s="236"/>
      <c r="I41" s="236"/>
      <c r="J41" s="53"/>
    </row>
    <row r="42" spans="2:13" ht="6" customHeight="1" x14ac:dyDescent="0.15">
      <c r="B42" s="55"/>
      <c r="C42" s="19"/>
      <c r="D42" s="19"/>
      <c r="E42" s="19"/>
      <c r="F42" s="73"/>
      <c r="G42" s="236"/>
      <c r="H42" s="236"/>
      <c r="I42" s="236"/>
      <c r="J42" s="53"/>
    </row>
    <row r="43" spans="2:13" ht="20.100000000000001" customHeight="1" x14ac:dyDescent="0.15">
      <c r="B43" s="238" t="s">
        <v>80</v>
      </c>
      <c r="C43" s="201"/>
      <c r="D43" s="74" t="str">
        <f>IF(OR(D35=""),"",SUM(D35,D37,D39,D41))</f>
        <v/>
      </c>
      <c r="E43" s="19" t="s">
        <v>71</v>
      </c>
      <c r="F43" s="73"/>
      <c r="G43" s="236"/>
      <c r="H43" s="236"/>
      <c r="I43" s="236"/>
      <c r="J43" s="53"/>
    </row>
    <row r="44" spans="2:13" ht="6" customHeight="1" x14ac:dyDescent="0.15">
      <c r="B44" s="75"/>
      <c r="C44" s="76"/>
      <c r="D44" s="79"/>
      <c r="E44" s="77"/>
      <c r="F44" s="78"/>
      <c r="G44" s="53"/>
      <c r="H44" s="53"/>
      <c r="I44" s="53"/>
      <c r="J44" s="53"/>
    </row>
    <row r="45" spans="2:13" ht="20.100000000000001" customHeight="1" x14ac:dyDescent="0.15">
      <c r="B45" s="53"/>
      <c r="C45" s="53"/>
      <c r="D45" s="53"/>
      <c r="E45" s="53"/>
      <c r="F45" s="53"/>
      <c r="G45" s="53"/>
      <c r="H45" s="53"/>
      <c r="I45" s="53"/>
      <c r="J45" s="53"/>
    </row>
    <row r="49" spans="1:14" ht="18" x14ac:dyDescent="0.15">
      <c r="A49" s="234" t="s">
        <v>101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</row>
    <row r="50" spans="1:14" ht="20.100000000000001" customHeight="1" thickBot="1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4" ht="20.100000000000001" customHeight="1" x14ac:dyDescent="0.15">
      <c r="A51" s="53"/>
      <c r="B51" s="80"/>
      <c r="C51" s="81"/>
      <c r="D51" s="81"/>
      <c r="E51" s="81"/>
      <c r="F51" s="81"/>
      <c r="G51" s="81"/>
      <c r="H51" s="81"/>
      <c r="I51" s="81"/>
      <c r="J51" s="81"/>
      <c r="K51" s="82"/>
      <c r="L51" s="53"/>
    </row>
    <row r="52" spans="1:14" ht="20.100000000000001" customHeight="1" x14ac:dyDescent="0.15">
      <c r="A52" s="53"/>
      <c r="B52" s="237" t="s">
        <v>121</v>
      </c>
      <c r="C52" s="235"/>
      <c r="D52" s="7">
        <v>6000</v>
      </c>
      <c r="E52" s="2" t="s">
        <v>84</v>
      </c>
      <c r="F52" s="221">
        <v>2400</v>
      </c>
      <c r="G52" s="222"/>
      <c r="H52" s="19" t="s">
        <v>86</v>
      </c>
      <c r="I52" s="2" t="s">
        <v>88</v>
      </c>
      <c r="J52" s="7">
        <v>5</v>
      </c>
      <c r="K52" s="13" t="s">
        <v>87</v>
      </c>
      <c r="L52" s="53"/>
    </row>
    <row r="53" spans="1:14" ht="6" customHeight="1" x14ac:dyDescent="0.15">
      <c r="A53" s="53"/>
      <c r="B53" s="20"/>
      <c r="C53" s="19"/>
      <c r="D53" s="19"/>
      <c r="E53" s="19"/>
      <c r="F53" s="19"/>
      <c r="G53" s="19"/>
      <c r="H53" s="19"/>
      <c r="I53" s="19"/>
      <c r="J53" s="19"/>
      <c r="K53" s="13"/>
      <c r="L53" s="53"/>
    </row>
    <row r="54" spans="1:14" ht="20.100000000000001" customHeight="1" x14ac:dyDescent="0.15">
      <c r="A54" s="53"/>
      <c r="B54" s="20"/>
      <c r="C54" s="2" t="s">
        <v>100</v>
      </c>
      <c r="D54" s="83">
        <f>IF(OR(D52="",F52="",J52="",D52=0,F52=0,J52=0),"",D52*F52*J52/10^6)</f>
        <v>72</v>
      </c>
      <c r="E54" s="19" t="s">
        <v>71</v>
      </c>
      <c r="F54" s="19"/>
      <c r="G54" s="19"/>
      <c r="H54" s="19"/>
      <c r="I54" s="19"/>
      <c r="J54" s="19"/>
      <c r="K54" s="13"/>
      <c r="L54" s="53"/>
    </row>
    <row r="55" spans="1:14" ht="8.25" customHeight="1" x14ac:dyDescent="0.15">
      <c r="A55" s="53"/>
      <c r="B55" s="20"/>
      <c r="C55" s="19"/>
      <c r="D55" s="19"/>
      <c r="E55" s="19"/>
      <c r="F55" s="19"/>
      <c r="G55" s="19"/>
      <c r="H55" s="19"/>
      <c r="I55" s="19"/>
      <c r="J55" s="19"/>
      <c r="K55" s="13"/>
      <c r="L55" s="53"/>
    </row>
    <row r="56" spans="1:14" ht="20.100000000000001" customHeight="1" x14ac:dyDescent="0.15">
      <c r="A56" s="53"/>
      <c r="B56" s="20" t="s">
        <v>92</v>
      </c>
      <c r="C56" s="7">
        <v>175</v>
      </c>
      <c r="D56" s="19" t="s">
        <v>71</v>
      </c>
      <c r="E56" s="197" t="s">
        <v>95</v>
      </c>
      <c r="F56" s="197"/>
      <c r="G56" s="197"/>
      <c r="H56" s="197"/>
      <c r="I56" s="7">
        <v>50</v>
      </c>
      <c r="J56" s="19" t="s">
        <v>71</v>
      </c>
      <c r="K56" s="13"/>
      <c r="L56" s="53"/>
    </row>
    <row r="57" spans="1:14" ht="20.100000000000001" customHeight="1" x14ac:dyDescent="0.15">
      <c r="A57" s="53"/>
      <c r="B57" s="20"/>
      <c r="C57" s="5"/>
      <c r="D57" s="19"/>
      <c r="E57" s="19"/>
      <c r="F57" s="19"/>
      <c r="G57" s="19"/>
      <c r="H57" s="19"/>
      <c r="I57" s="5"/>
      <c r="J57" s="19"/>
      <c r="K57" s="13"/>
      <c r="L57" s="53"/>
    </row>
    <row r="58" spans="1:14" ht="20.100000000000001" customHeight="1" x14ac:dyDescent="0.15">
      <c r="A58" s="53"/>
      <c r="B58" s="20" t="s">
        <v>93</v>
      </c>
      <c r="C58" s="7"/>
      <c r="D58" s="19" t="s">
        <v>71</v>
      </c>
      <c r="E58" s="197" t="s">
        <v>96</v>
      </c>
      <c r="F58" s="197"/>
      <c r="G58" s="197"/>
      <c r="H58" s="197"/>
      <c r="I58" s="7"/>
      <c r="J58" s="19" t="s">
        <v>71</v>
      </c>
      <c r="K58" s="13"/>
      <c r="L58" s="53"/>
      <c r="N58" s="84"/>
    </row>
    <row r="59" spans="1:14" ht="20.100000000000001" customHeight="1" x14ac:dyDescent="0.15">
      <c r="A59" s="53"/>
      <c r="B59" s="20"/>
      <c r="C59" s="5"/>
      <c r="D59" s="19"/>
      <c r="E59" s="85"/>
      <c r="F59" s="19"/>
      <c r="G59" s="19"/>
      <c r="H59" s="19"/>
      <c r="I59" s="5"/>
      <c r="J59" s="19"/>
      <c r="K59" s="13"/>
      <c r="L59" s="53"/>
    </row>
    <row r="60" spans="1:14" ht="20.100000000000001" customHeight="1" x14ac:dyDescent="0.15">
      <c r="A60" s="53"/>
      <c r="B60" s="20" t="s">
        <v>94</v>
      </c>
      <c r="C60" s="7"/>
      <c r="D60" s="19" t="s">
        <v>71</v>
      </c>
      <c r="E60" s="197" t="s">
        <v>97</v>
      </c>
      <c r="F60" s="197"/>
      <c r="G60" s="197"/>
      <c r="H60" s="197"/>
      <c r="I60" s="7"/>
      <c r="J60" s="19" t="s">
        <v>71</v>
      </c>
      <c r="K60" s="13"/>
      <c r="L60" s="53"/>
    </row>
    <row r="61" spans="1:14" ht="20.100000000000001" customHeight="1" x14ac:dyDescent="0.15">
      <c r="A61" s="53"/>
      <c r="B61" s="20"/>
      <c r="C61" s="5"/>
      <c r="D61" s="19"/>
      <c r="E61" s="19"/>
      <c r="F61" s="19"/>
      <c r="G61" s="19"/>
      <c r="H61" s="19"/>
      <c r="I61" s="5"/>
      <c r="J61" s="19"/>
      <c r="K61" s="13"/>
      <c r="L61" s="53"/>
    </row>
    <row r="62" spans="1:14" ht="20.100000000000001" customHeight="1" x14ac:dyDescent="0.15">
      <c r="A62" s="53"/>
      <c r="B62" s="20" t="s">
        <v>89</v>
      </c>
      <c r="C62" s="7"/>
      <c r="D62" s="19" t="s">
        <v>71</v>
      </c>
      <c r="E62" s="197" t="s">
        <v>98</v>
      </c>
      <c r="F62" s="197"/>
      <c r="G62" s="197"/>
      <c r="H62" s="197"/>
      <c r="I62" s="7"/>
      <c r="J62" s="19" t="s">
        <v>71</v>
      </c>
      <c r="K62" s="13"/>
      <c r="L62" s="53"/>
    </row>
    <row r="63" spans="1:14" ht="4.5" customHeight="1" x14ac:dyDescent="0.15">
      <c r="A63" s="53"/>
      <c r="B63" s="20"/>
      <c r="C63" s="19"/>
      <c r="D63" s="19"/>
      <c r="E63" s="19"/>
      <c r="F63" s="19"/>
      <c r="G63" s="19"/>
      <c r="H63" s="19"/>
      <c r="I63" s="19"/>
      <c r="J63" s="19"/>
      <c r="K63" s="13"/>
      <c r="L63" s="53"/>
    </row>
    <row r="64" spans="1:14" ht="20.100000000000001" customHeight="1" x14ac:dyDescent="0.15">
      <c r="A64" s="53"/>
      <c r="B64" s="200" t="s">
        <v>90</v>
      </c>
      <c r="C64" s="210"/>
      <c r="D64" s="223">
        <f>IF(AND(C56="",C58="",C60="",C62=""),0,SUM(C56,C58,C60,C62))</f>
        <v>175</v>
      </c>
      <c r="E64" s="224"/>
      <c r="F64" s="29" t="s">
        <v>91</v>
      </c>
      <c r="G64" s="197" t="s">
        <v>191</v>
      </c>
      <c r="H64" s="197"/>
      <c r="I64" s="197"/>
      <c r="J64" s="223">
        <f>IF(AND(I56="",I58="",I60="",I62=""),0,SUM(I56,I58,I60,I62))</f>
        <v>50</v>
      </c>
      <c r="K64" s="224"/>
      <c r="L64" s="53"/>
    </row>
    <row r="65" spans="1:12" ht="5.25" customHeight="1" x14ac:dyDescent="0.15">
      <c r="A65" s="53"/>
      <c r="B65" s="22"/>
      <c r="C65" s="8"/>
      <c r="D65" s="66"/>
      <c r="E65" s="66"/>
      <c r="F65" s="29"/>
      <c r="G65" s="2"/>
      <c r="H65" s="2"/>
      <c r="I65" s="2"/>
      <c r="J65" s="87"/>
      <c r="K65" s="86"/>
      <c r="L65" s="53"/>
    </row>
    <row r="66" spans="1:12" ht="23.25" customHeight="1" x14ac:dyDescent="0.15">
      <c r="A66" s="53"/>
      <c r="B66" s="200"/>
      <c r="C66" s="201"/>
      <c r="D66" s="201"/>
      <c r="E66" s="201"/>
      <c r="F66" s="201"/>
      <c r="G66" s="201"/>
      <c r="H66" s="201"/>
      <c r="I66" s="201"/>
      <c r="J66" s="201"/>
      <c r="K66" s="217"/>
      <c r="L66" s="53"/>
    </row>
    <row r="67" spans="1:12" ht="6.75" customHeight="1" thickBot="1" x14ac:dyDescent="0.2">
      <c r="A67" s="53"/>
      <c r="B67" s="15"/>
      <c r="C67" s="16"/>
      <c r="D67" s="16"/>
      <c r="E67" s="16"/>
      <c r="F67" s="16"/>
      <c r="G67" s="16"/>
      <c r="H67" s="16"/>
      <c r="I67" s="16"/>
      <c r="J67" s="16"/>
      <c r="K67" s="17"/>
      <c r="L67" s="53"/>
    </row>
    <row r="68" spans="1:12" ht="20.100000000000001" customHeight="1" thickBot="1" x14ac:dyDescent="0.2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</row>
    <row r="69" spans="1:12" ht="20.100000000000001" customHeight="1" x14ac:dyDescent="0.15">
      <c r="A69" s="53"/>
      <c r="B69" s="80"/>
      <c r="C69" s="81"/>
      <c r="D69" s="81"/>
      <c r="E69" s="81"/>
      <c r="F69" s="81"/>
      <c r="G69" s="81"/>
      <c r="H69" s="81"/>
      <c r="I69" s="81"/>
      <c r="J69" s="81"/>
      <c r="K69" s="82"/>
      <c r="L69" s="53"/>
    </row>
    <row r="70" spans="1:12" ht="20.100000000000001" customHeight="1" x14ac:dyDescent="0.15">
      <c r="A70" s="53"/>
      <c r="B70" s="237" t="s">
        <v>120</v>
      </c>
      <c r="C70" s="235"/>
      <c r="D70" s="7">
        <v>1500</v>
      </c>
      <c r="E70" s="2" t="s">
        <v>84</v>
      </c>
      <c r="F70" s="221">
        <v>1800</v>
      </c>
      <c r="G70" s="222"/>
      <c r="H70" s="19" t="s">
        <v>86</v>
      </c>
      <c r="I70" s="2" t="s">
        <v>88</v>
      </c>
      <c r="J70" s="7">
        <v>20</v>
      </c>
      <c r="K70" s="13" t="s">
        <v>87</v>
      </c>
      <c r="L70" s="53"/>
    </row>
    <row r="71" spans="1:12" ht="20.100000000000001" customHeight="1" x14ac:dyDescent="0.15">
      <c r="A71" s="53"/>
      <c r="B71" s="20"/>
      <c r="C71" s="19"/>
      <c r="D71" s="19"/>
      <c r="E71" s="19"/>
      <c r="F71" s="19"/>
      <c r="G71" s="19"/>
      <c r="H71" s="19"/>
      <c r="I71" s="19"/>
      <c r="J71" s="19"/>
      <c r="K71" s="13"/>
      <c r="L71" s="53"/>
    </row>
    <row r="72" spans="1:12" ht="20.100000000000001" customHeight="1" x14ac:dyDescent="0.15">
      <c r="A72" s="53"/>
      <c r="B72" s="20"/>
      <c r="C72" s="2" t="s">
        <v>100</v>
      </c>
      <c r="D72" s="83">
        <f>IF(OR(D70="",F70="",J70="",D70=0,F70=0,J70=0),"",D70*F70*J70/10^6)</f>
        <v>54</v>
      </c>
      <c r="E72" s="19" t="s">
        <v>71</v>
      </c>
      <c r="F72" s="19"/>
      <c r="G72" s="19"/>
      <c r="H72" s="19"/>
      <c r="I72" s="19"/>
      <c r="J72" s="19"/>
      <c r="K72" s="13"/>
      <c r="L72" s="53"/>
    </row>
    <row r="73" spans="1:12" ht="20.100000000000001" customHeight="1" x14ac:dyDescent="0.15">
      <c r="A73" s="53"/>
      <c r="B73" s="20"/>
      <c r="C73" s="19"/>
      <c r="D73" s="19"/>
      <c r="E73" s="19"/>
      <c r="F73" s="19"/>
      <c r="G73" s="19"/>
      <c r="H73" s="19"/>
      <c r="I73" s="19"/>
      <c r="J73" s="19"/>
      <c r="K73" s="13"/>
      <c r="L73" s="53"/>
    </row>
    <row r="74" spans="1:12" ht="20.100000000000001" customHeight="1" x14ac:dyDescent="0.15">
      <c r="A74" s="53"/>
      <c r="B74" s="88" t="s">
        <v>102</v>
      </c>
      <c r="C74" s="7">
        <v>985</v>
      </c>
      <c r="D74" s="19" t="s">
        <v>71</v>
      </c>
      <c r="E74" s="197"/>
      <c r="F74" s="197"/>
      <c r="G74" s="197"/>
      <c r="H74" s="197"/>
      <c r="I74" s="19"/>
      <c r="J74" s="19"/>
      <c r="K74" s="13"/>
      <c r="L74" s="53"/>
    </row>
    <row r="75" spans="1:12" ht="20.100000000000001" customHeight="1" x14ac:dyDescent="0.15">
      <c r="A75" s="53"/>
      <c r="B75" s="11"/>
      <c r="C75" s="5"/>
      <c r="D75" s="19"/>
      <c r="E75" s="19"/>
      <c r="F75" s="19"/>
      <c r="G75" s="19"/>
      <c r="H75" s="19"/>
      <c r="I75" s="19"/>
      <c r="J75" s="19"/>
      <c r="K75" s="13"/>
      <c r="L75" s="53"/>
    </row>
    <row r="76" spans="1:12" ht="20.100000000000001" customHeight="1" x14ac:dyDescent="0.15">
      <c r="A76" s="53"/>
      <c r="B76" s="88" t="s">
        <v>103</v>
      </c>
      <c r="C76" s="7"/>
      <c r="D76" s="19" t="s">
        <v>71</v>
      </c>
      <c r="E76" s="197"/>
      <c r="F76" s="197"/>
      <c r="G76" s="197"/>
      <c r="H76" s="197"/>
      <c r="I76" s="19"/>
      <c r="J76" s="19"/>
      <c r="K76" s="13"/>
      <c r="L76" s="53"/>
    </row>
    <row r="77" spans="1:12" ht="20.100000000000001" customHeight="1" x14ac:dyDescent="0.15">
      <c r="A77" s="53"/>
      <c r="B77" s="11"/>
      <c r="C77" s="5"/>
      <c r="D77" s="19"/>
      <c r="E77" s="85"/>
      <c r="F77" s="19"/>
      <c r="G77" s="19"/>
      <c r="H77" s="19"/>
      <c r="I77" s="19"/>
      <c r="J77" s="19"/>
      <c r="K77" s="13"/>
      <c r="L77" s="53"/>
    </row>
    <row r="78" spans="1:12" ht="20.100000000000001" customHeight="1" x14ac:dyDescent="0.15">
      <c r="A78" s="53"/>
      <c r="B78" s="88" t="s">
        <v>104</v>
      </c>
      <c r="C78" s="7"/>
      <c r="D78" s="19" t="s">
        <v>71</v>
      </c>
      <c r="E78" s="197"/>
      <c r="F78" s="197"/>
      <c r="G78" s="197"/>
      <c r="H78" s="197"/>
      <c r="I78" s="19"/>
      <c r="J78" s="19"/>
      <c r="K78" s="13"/>
      <c r="L78" s="53"/>
    </row>
    <row r="79" spans="1:12" ht="20.100000000000001" customHeight="1" x14ac:dyDescent="0.15">
      <c r="A79" s="53"/>
      <c r="B79" s="20"/>
      <c r="C79" s="5"/>
      <c r="D79" s="19"/>
      <c r="E79" s="19"/>
      <c r="F79" s="19"/>
      <c r="G79" s="19"/>
      <c r="H79" s="19"/>
      <c r="I79" s="19"/>
      <c r="J79" s="19"/>
      <c r="K79" s="13"/>
      <c r="L79" s="53"/>
    </row>
    <row r="80" spans="1:12" ht="20.100000000000001" customHeight="1" x14ac:dyDescent="0.15">
      <c r="A80" s="53"/>
      <c r="B80" s="20" t="s">
        <v>89</v>
      </c>
      <c r="C80" s="7"/>
      <c r="D80" s="19" t="s">
        <v>106</v>
      </c>
      <c r="E80" s="197"/>
      <c r="F80" s="197"/>
      <c r="G80" s="197"/>
      <c r="H80" s="197"/>
      <c r="I80" s="19"/>
      <c r="J80" s="19"/>
      <c r="K80" s="13"/>
      <c r="L80" s="53"/>
    </row>
    <row r="81" spans="1:12" ht="20.100000000000001" customHeight="1" x14ac:dyDescent="0.15">
      <c r="A81" s="53"/>
      <c r="B81" s="20"/>
      <c r="C81" s="19"/>
      <c r="D81" s="19"/>
      <c r="E81" s="19"/>
      <c r="F81" s="19"/>
      <c r="G81" s="19"/>
      <c r="H81" s="19"/>
      <c r="I81" s="19"/>
      <c r="J81" s="19"/>
      <c r="K81" s="13"/>
      <c r="L81" s="53"/>
    </row>
    <row r="82" spans="1:12" ht="20.100000000000001" customHeight="1" x14ac:dyDescent="0.15">
      <c r="A82" s="53"/>
      <c r="B82" s="200" t="s">
        <v>99</v>
      </c>
      <c r="C82" s="210"/>
      <c r="D82" s="223">
        <f>IF(AND(C74="",C76="",C78="",C80=""),0,SUM(C74,C76,C78,C80))</f>
        <v>985</v>
      </c>
      <c r="E82" s="224"/>
      <c r="F82" s="29" t="s">
        <v>91</v>
      </c>
      <c r="G82" s="197"/>
      <c r="H82" s="197"/>
      <c r="I82" s="197"/>
      <c r="J82" s="87"/>
      <c r="K82" s="86"/>
      <c r="L82" s="53"/>
    </row>
    <row r="83" spans="1:12" ht="20.100000000000001" customHeight="1" x14ac:dyDescent="0.15">
      <c r="A83" s="53"/>
      <c r="B83" s="22"/>
      <c r="C83" s="8"/>
      <c r="D83" s="66"/>
      <c r="E83" s="66"/>
      <c r="F83" s="29"/>
      <c r="G83" s="2"/>
      <c r="H83" s="2"/>
      <c r="I83" s="2"/>
      <c r="J83" s="87"/>
      <c r="K83" s="86"/>
      <c r="L83" s="53"/>
    </row>
    <row r="84" spans="1:12" ht="20.100000000000001" customHeight="1" thickBot="1" x14ac:dyDescent="0.2">
      <c r="A84" s="53"/>
      <c r="B84" s="15"/>
      <c r="C84" s="16"/>
      <c r="D84" s="16"/>
      <c r="E84" s="16"/>
      <c r="F84" s="16"/>
      <c r="G84" s="16"/>
      <c r="H84" s="16"/>
      <c r="I84" s="16"/>
      <c r="J84" s="16"/>
      <c r="K84" s="17"/>
      <c r="L84" s="53"/>
    </row>
    <row r="85" spans="1:12" ht="20.100000000000001" customHeight="1" x14ac:dyDescent="0.1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</row>
    <row r="86" spans="1:12" ht="20.100000000000001" customHeight="1" thickBot="1" x14ac:dyDescent="0.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</row>
    <row r="87" spans="1:12" ht="20.100000000000001" customHeight="1" x14ac:dyDescent="0.15">
      <c r="A87" s="53"/>
      <c r="B87" s="80"/>
      <c r="C87" s="81"/>
      <c r="D87" s="81"/>
      <c r="E87" s="81"/>
      <c r="F87" s="81"/>
      <c r="G87" s="81"/>
      <c r="H87" s="81"/>
      <c r="I87" s="81"/>
      <c r="J87" s="81"/>
      <c r="K87" s="82"/>
      <c r="L87" s="53"/>
    </row>
    <row r="88" spans="1:12" ht="20.100000000000001" customHeight="1" x14ac:dyDescent="0.15">
      <c r="A88" s="53"/>
      <c r="B88" s="241" t="s">
        <v>130</v>
      </c>
      <c r="C88" s="242"/>
      <c r="D88" s="19"/>
      <c r="E88" s="197" t="s">
        <v>109</v>
      </c>
      <c r="F88" s="197"/>
      <c r="G88" s="197"/>
      <c r="H88" s="197"/>
      <c r="I88" s="7">
        <v>820</v>
      </c>
      <c r="J88" s="19" t="s">
        <v>85</v>
      </c>
      <c r="K88" s="13"/>
      <c r="L88" s="53"/>
    </row>
    <row r="89" spans="1:12" ht="6.75" customHeight="1" x14ac:dyDescent="0.15">
      <c r="A89" s="53"/>
      <c r="B89" s="89"/>
      <c r="C89" s="29"/>
      <c r="D89" s="19"/>
      <c r="E89" s="2"/>
      <c r="F89" s="2"/>
      <c r="G89" s="2"/>
      <c r="H89" s="2"/>
      <c r="I89" s="19"/>
      <c r="J89" s="19"/>
      <c r="K89" s="13"/>
      <c r="L89" s="53"/>
    </row>
    <row r="90" spans="1:12" ht="6.75" customHeight="1" x14ac:dyDescent="0.15">
      <c r="A90" s="53"/>
      <c r="B90" s="20"/>
      <c r="C90" s="19"/>
      <c r="D90" s="19"/>
      <c r="E90" s="19"/>
      <c r="F90" s="19"/>
      <c r="G90" s="19"/>
      <c r="H90" s="19"/>
      <c r="I90" s="19"/>
      <c r="J90" s="19"/>
      <c r="K90" s="13"/>
      <c r="L90" s="53"/>
    </row>
    <row r="91" spans="1:12" ht="20.100000000000001" customHeight="1" x14ac:dyDescent="0.15">
      <c r="A91" s="64" t="s">
        <v>116</v>
      </c>
      <c r="B91" s="20" t="s">
        <v>105</v>
      </c>
      <c r="C91" s="7">
        <v>240.88</v>
      </c>
      <c r="D91" s="19" t="s">
        <v>107</v>
      </c>
      <c r="E91" s="19" t="s">
        <v>110</v>
      </c>
      <c r="F91" s="221">
        <v>6.6</v>
      </c>
      <c r="G91" s="222"/>
      <c r="H91" s="19" t="s">
        <v>107</v>
      </c>
      <c r="I91" s="2" t="s">
        <v>111</v>
      </c>
      <c r="J91" s="7">
        <v>2</v>
      </c>
      <c r="K91" s="13"/>
      <c r="L91" s="53"/>
    </row>
    <row r="92" spans="1:12" ht="6" customHeight="1" x14ac:dyDescent="0.15">
      <c r="A92" s="64"/>
      <c r="B92" s="20"/>
      <c r="C92" s="19"/>
      <c r="D92" s="19"/>
      <c r="E92" s="19"/>
      <c r="F92" s="19"/>
      <c r="G92" s="19"/>
      <c r="H92" s="19"/>
      <c r="I92" s="19"/>
      <c r="J92" s="19"/>
      <c r="K92" s="13"/>
      <c r="L92" s="53"/>
    </row>
    <row r="93" spans="1:12" ht="20.100000000000001" customHeight="1" x14ac:dyDescent="0.15">
      <c r="A93" s="64"/>
      <c r="B93" s="196" t="s">
        <v>122</v>
      </c>
      <c r="C93" s="197"/>
      <c r="D93" s="244">
        <f>IF(OR(I88="",C91="",F91="",J91="",I88=0,C91=0,F91=0,J91=0),"",IF(1000*C91/I88&gt;ROUND(1000*C91/I88,0),C91*F91*J91,I88*ROUND(1000*C91/I88,0)*F91*J91/1000))</f>
        <v>3182.2559999999999</v>
      </c>
      <c r="E93" s="244"/>
      <c r="F93" s="19" t="s">
        <v>83</v>
      </c>
      <c r="G93" s="19"/>
      <c r="H93" s="19"/>
      <c r="I93" s="243" t="s">
        <v>124</v>
      </c>
      <c r="J93" s="243"/>
      <c r="K93" s="13"/>
      <c r="L93" s="53"/>
    </row>
    <row r="94" spans="1:12" ht="6" customHeight="1" x14ac:dyDescent="0.15">
      <c r="A94" s="64"/>
      <c r="B94" s="20"/>
      <c r="C94" s="19"/>
      <c r="D94" s="19"/>
      <c r="E94" s="19"/>
      <c r="F94" s="19"/>
      <c r="G94" s="19"/>
      <c r="H94" s="19"/>
      <c r="I94" s="19"/>
      <c r="J94" s="19"/>
      <c r="K94" s="13"/>
      <c r="L94" s="53"/>
    </row>
    <row r="95" spans="1:12" ht="6" customHeight="1" x14ac:dyDescent="0.15">
      <c r="A95" s="64"/>
      <c r="B95" s="20"/>
      <c r="C95" s="19"/>
      <c r="D95" s="19"/>
      <c r="E95" s="19"/>
      <c r="F95" s="19"/>
      <c r="G95" s="19"/>
      <c r="H95" s="19"/>
      <c r="I95" s="19"/>
      <c r="J95" s="19"/>
      <c r="K95" s="13"/>
      <c r="L95" s="53"/>
    </row>
    <row r="96" spans="1:12" ht="8.25" customHeight="1" x14ac:dyDescent="0.15">
      <c r="A96" s="64"/>
      <c r="B96" s="20"/>
      <c r="C96" s="19"/>
      <c r="D96" s="19"/>
      <c r="E96" s="19"/>
      <c r="F96" s="19"/>
      <c r="G96" s="19"/>
      <c r="H96" s="19"/>
      <c r="I96" s="19"/>
      <c r="J96" s="19"/>
      <c r="K96" s="13"/>
      <c r="L96" s="53"/>
    </row>
    <row r="97" spans="1:12" ht="20.100000000000001" customHeight="1" x14ac:dyDescent="0.15">
      <c r="A97" s="64" t="s">
        <v>117</v>
      </c>
      <c r="B97" s="20" t="s">
        <v>112</v>
      </c>
      <c r="C97" s="7">
        <v>72.48</v>
      </c>
      <c r="D97" s="19" t="s">
        <v>107</v>
      </c>
      <c r="E97" s="19" t="s">
        <v>113</v>
      </c>
      <c r="F97" s="221">
        <v>8.11</v>
      </c>
      <c r="G97" s="222"/>
      <c r="H97" s="19" t="s">
        <v>107</v>
      </c>
      <c r="I97" s="2" t="s">
        <v>111</v>
      </c>
      <c r="J97" s="7">
        <v>2</v>
      </c>
      <c r="K97" s="13"/>
      <c r="L97" s="53"/>
    </row>
    <row r="98" spans="1:12" ht="5.25" customHeight="1" x14ac:dyDescent="0.15">
      <c r="A98" s="64"/>
      <c r="B98" s="20"/>
      <c r="C98" s="19"/>
      <c r="D98" s="19"/>
      <c r="E98" s="19"/>
      <c r="F98" s="19"/>
      <c r="G98" s="19"/>
      <c r="H98" s="19"/>
      <c r="I98" s="19"/>
      <c r="J98" s="19"/>
      <c r="K98" s="13"/>
      <c r="L98" s="53"/>
    </row>
    <row r="99" spans="1:12" ht="20.100000000000001" customHeight="1" x14ac:dyDescent="0.15">
      <c r="A99" s="64"/>
      <c r="B99" s="196" t="s">
        <v>123</v>
      </c>
      <c r="C99" s="197"/>
      <c r="D99" s="244">
        <f>IF(OR(I88="",C97="",F97="",J97="",I88=0,C97=0,F97=0,J97=0),"",IF(1000*C97/I88&gt;ROUND(1000*C97/I88,0),C97*F97*J97,I88*ROUND(1000*C97/I88,0)*F97*J97/1000))</f>
        <v>1175.6256000000001</v>
      </c>
      <c r="E99" s="244"/>
      <c r="F99" s="19" t="s">
        <v>83</v>
      </c>
      <c r="G99" s="19"/>
      <c r="H99" s="19"/>
      <c r="I99" s="243" t="s">
        <v>125</v>
      </c>
      <c r="J99" s="243"/>
      <c r="K99" s="13"/>
      <c r="L99" s="53"/>
    </row>
    <row r="100" spans="1:12" ht="7.5" customHeight="1" x14ac:dyDescent="0.15">
      <c r="A100" s="64"/>
      <c r="B100" s="20"/>
      <c r="C100" s="19"/>
      <c r="D100" s="19"/>
      <c r="E100" s="19"/>
      <c r="F100" s="19"/>
      <c r="G100" s="19"/>
      <c r="H100" s="19"/>
      <c r="I100" s="19"/>
      <c r="J100" s="19"/>
      <c r="K100" s="13"/>
      <c r="L100" s="53"/>
    </row>
    <row r="101" spans="1:12" ht="9" customHeight="1" x14ac:dyDescent="0.15">
      <c r="A101" s="64"/>
      <c r="B101" s="20"/>
      <c r="C101" s="19"/>
      <c r="D101" s="19"/>
      <c r="E101" s="19"/>
      <c r="F101" s="19"/>
      <c r="G101" s="19"/>
      <c r="H101" s="19"/>
      <c r="I101" s="19"/>
      <c r="J101" s="19"/>
      <c r="K101" s="13"/>
      <c r="L101" s="53"/>
    </row>
    <row r="102" spans="1:12" ht="7.5" customHeight="1" x14ac:dyDescent="0.15">
      <c r="A102" s="64"/>
      <c r="B102" s="20"/>
      <c r="C102" s="19"/>
      <c r="D102" s="19"/>
      <c r="E102" s="19"/>
      <c r="F102" s="19"/>
      <c r="G102" s="19"/>
      <c r="H102" s="19"/>
      <c r="I102" s="19"/>
      <c r="J102" s="19"/>
      <c r="K102" s="13"/>
      <c r="L102" s="53"/>
    </row>
    <row r="103" spans="1:12" ht="20.100000000000001" customHeight="1" x14ac:dyDescent="0.15">
      <c r="A103" s="64" t="s">
        <v>118</v>
      </c>
      <c r="B103" s="11" t="s">
        <v>115</v>
      </c>
      <c r="C103" s="7">
        <v>0</v>
      </c>
      <c r="D103" s="19" t="s">
        <v>107</v>
      </c>
      <c r="E103" s="19" t="s">
        <v>113</v>
      </c>
      <c r="F103" s="221">
        <v>1</v>
      </c>
      <c r="G103" s="222"/>
      <c r="H103" s="19" t="s">
        <v>107</v>
      </c>
      <c r="I103" s="2" t="s">
        <v>111</v>
      </c>
      <c r="J103" s="7">
        <v>1</v>
      </c>
      <c r="K103" s="13"/>
      <c r="L103" s="53"/>
    </row>
    <row r="104" spans="1:12" ht="7.5" customHeight="1" x14ac:dyDescent="0.15">
      <c r="A104" s="53"/>
      <c r="B104" s="20"/>
      <c r="C104" s="19"/>
      <c r="D104" s="19"/>
      <c r="E104" s="19"/>
      <c r="F104" s="19"/>
      <c r="G104" s="19"/>
      <c r="H104" s="19"/>
      <c r="I104" s="19"/>
      <c r="J104" s="19"/>
      <c r="K104" s="13"/>
      <c r="L104" s="53"/>
    </row>
    <row r="105" spans="1:12" ht="21" customHeight="1" x14ac:dyDescent="0.15">
      <c r="A105" s="53"/>
      <c r="B105" s="196" t="s">
        <v>108</v>
      </c>
      <c r="C105" s="197"/>
      <c r="D105" s="7">
        <v>820</v>
      </c>
      <c r="E105" s="19" t="s">
        <v>85</v>
      </c>
      <c r="F105" s="19" t="s">
        <v>131</v>
      </c>
      <c r="G105" s="19"/>
      <c r="H105" s="19"/>
      <c r="I105" s="19"/>
      <c r="J105" s="19"/>
      <c r="K105" s="13"/>
      <c r="L105" s="53"/>
    </row>
    <row r="106" spans="1:12" ht="5.25" customHeight="1" x14ac:dyDescent="0.15">
      <c r="A106" s="53"/>
      <c r="B106" s="20"/>
      <c r="C106" s="19"/>
      <c r="D106" s="19"/>
      <c r="E106" s="19"/>
      <c r="F106" s="19"/>
      <c r="G106" s="19"/>
      <c r="H106" s="19"/>
      <c r="I106" s="19"/>
      <c r="J106" s="19"/>
      <c r="K106" s="13"/>
      <c r="L106" s="53"/>
    </row>
    <row r="107" spans="1:12" ht="20.100000000000001" customHeight="1" x14ac:dyDescent="0.15">
      <c r="A107" s="53"/>
      <c r="B107" s="196" t="s">
        <v>126</v>
      </c>
      <c r="C107" s="197"/>
      <c r="D107" s="246" t="str">
        <f>IF(OR(D105="",C103="",F103="",J103="",D105=0,C103=0,F103=0,J103=0),"",IF(1000*C103/D105&gt;ROUND(1000*C103/D105,0),C103*F103*J103,D105*ROUND(1000*C103/D105,0)*F103*J103/1000))</f>
        <v/>
      </c>
      <c r="E107" s="246"/>
      <c r="F107" s="90" t="s">
        <v>128</v>
      </c>
      <c r="G107" s="19"/>
      <c r="H107" s="19"/>
      <c r="I107" s="243" t="s">
        <v>114</v>
      </c>
      <c r="J107" s="243"/>
      <c r="K107" s="247"/>
      <c r="L107" s="53"/>
    </row>
    <row r="108" spans="1:12" ht="6.75" customHeight="1" thickBot="1" x14ac:dyDescent="0.2">
      <c r="A108" s="53"/>
      <c r="B108" s="20"/>
      <c r="C108" s="19"/>
      <c r="D108" s="19"/>
      <c r="E108" s="19"/>
      <c r="F108" s="19"/>
      <c r="G108" s="19"/>
      <c r="H108" s="19"/>
      <c r="I108" s="19"/>
      <c r="J108" s="19"/>
      <c r="K108" s="13"/>
      <c r="L108" s="53"/>
    </row>
    <row r="109" spans="1:12" ht="18" customHeight="1" x14ac:dyDescent="0.15">
      <c r="A109" s="53"/>
      <c r="B109" s="80"/>
      <c r="C109" s="81"/>
      <c r="D109" s="81"/>
      <c r="E109" s="81"/>
      <c r="F109" s="81"/>
      <c r="G109" s="81"/>
      <c r="H109" s="81"/>
      <c r="I109" s="81"/>
      <c r="J109" s="81"/>
      <c r="K109" s="82"/>
      <c r="L109" s="53"/>
    </row>
    <row r="110" spans="1:12" ht="18" customHeight="1" x14ac:dyDescent="0.15">
      <c r="A110" s="53"/>
      <c r="B110" s="215" t="s">
        <v>172</v>
      </c>
      <c r="C110" s="216"/>
      <c r="D110" s="7">
        <v>1.05</v>
      </c>
      <c r="E110" s="19"/>
      <c r="F110" s="19"/>
      <c r="G110" s="19"/>
      <c r="H110" s="19"/>
      <c r="I110" s="19"/>
      <c r="J110" s="19"/>
      <c r="K110" s="13"/>
      <c r="L110" s="53"/>
    </row>
    <row r="111" spans="1:12" ht="4.5" customHeight="1" x14ac:dyDescent="0.15">
      <c r="A111" s="53"/>
      <c r="B111" s="20"/>
      <c r="C111" s="19"/>
      <c r="D111" s="19"/>
      <c r="E111" s="19"/>
      <c r="F111" s="19"/>
      <c r="G111" s="19"/>
      <c r="H111" s="19"/>
      <c r="I111" s="19"/>
      <c r="J111" s="19"/>
      <c r="K111" s="13"/>
      <c r="L111" s="53"/>
    </row>
    <row r="112" spans="1:12" ht="20.100000000000001" customHeight="1" x14ac:dyDescent="0.15">
      <c r="A112" s="53"/>
      <c r="B112" s="237" t="s">
        <v>119</v>
      </c>
      <c r="C112" s="243"/>
      <c r="D112" s="245">
        <f>IF(OR(D93="",D99="",D110=""),"",(SUM(D93,D99,D107)-D64-D82+J64)*D110)</f>
        <v>3410.2756799999997</v>
      </c>
      <c r="E112" s="245"/>
      <c r="F112" s="29" t="s">
        <v>127</v>
      </c>
      <c r="G112" s="19"/>
      <c r="H112" s="19"/>
      <c r="I112" s="19"/>
      <c r="J112" s="19"/>
      <c r="K112" s="13"/>
      <c r="L112" s="53"/>
    </row>
    <row r="113" spans="1:12" ht="20.100000000000001" customHeight="1" thickBot="1" x14ac:dyDescent="0.2">
      <c r="A113" s="53"/>
      <c r="B113" s="15"/>
      <c r="C113" s="16"/>
      <c r="D113" s="16"/>
      <c r="E113" s="16"/>
      <c r="F113" s="16"/>
      <c r="G113" s="16"/>
      <c r="H113" s="16"/>
      <c r="I113" s="16"/>
      <c r="J113" s="16"/>
      <c r="K113" s="17"/>
      <c r="L113" s="53"/>
    </row>
    <row r="114" spans="1:12" ht="20.100000000000001" customHeight="1" x14ac:dyDescent="0.1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</row>
    <row r="116" spans="1:12" ht="18" x14ac:dyDescent="0.15">
      <c r="A116" s="218" t="s">
        <v>144</v>
      </c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20"/>
    </row>
    <row r="117" spans="1:12" ht="15" thickBot="1" x14ac:dyDescent="0.2">
      <c r="A117" s="55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73"/>
    </row>
    <row r="118" spans="1:12" x14ac:dyDescent="0.15">
      <c r="A118" s="55"/>
      <c r="B118" s="80"/>
      <c r="C118" s="81"/>
      <c r="D118" s="81"/>
      <c r="E118" s="81"/>
      <c r="F118" s="81"/>
      <c r="G118" s="81"/>
      <c r="H118" s="81"/>
      <c r="I118" s="81"/>
      <c r="J118" s="81"/>
      <c r="K118" s="82"/>
      <c r="L118" s="73"/>
    </row>
    <row r="119" spans="1:12" x14ac:dyDescent="0.15">
      <c r="A119" s="55"/>
      <c r="B119" s="11" t="s">
        <v>175</v>
      </c>
      <c r="C119" s="120">
        <v>0.4</v>
      </c>
      <c r="D119" s="197" t="s">
        <v>155</v>
      </c>
      <c r="E119" s="202"/>
      <c r="F119" s="221">
        <v>150</v>
      </c>
      <c r="G119" s="222"/>
      <c r="H119" s="208" t="s">
        <v>156</v>
      </c>
      <c r="I119" s="209"/>
      <c r="J119" s="7">
        <v>1</v>
      </c>
      <c r="K119" s="13"/>
      <c r="L119" s="73"/>
    </row>
    <row r="120" spans="1:12" x14ac:dyDescent="0.15">
      <c r="A120" s="55"/>
      <c r="B120" s="11"/>
      <c r="C120" s="5"/>
      <c r="D120" s="2"/>
      <c r="E120" s="2"/>
      <c r="F120" s="5"/>
      <c r="G120" s="5"/>
      <c r="H120" s="19"/>
      <c r="I120" s="19"/>
      <c r="J120" s="5"/>
      <c r="K120" s="13"/>
      <c r="L120" s="73"/>
    </row>
    <row r="121" spans="1:12" x14ac:dyDescent="0.15">
      <c r="A121" s="55"/>
      <c r="B121" s="11" t="s">
        <v>176</v>
      </c>
      <c r="C121" s="7">
        <v>1180</v>
      </c>
      <c r="D121" s="2"/>
      <c r="E121" s="2"/>
      <c r="F121" s="5"/>
      <c r="G121" s="5"/>
      <c r="H121" s="19"/>
      <c r="I121" s="19"/>
      <c r="J121" s="5"/>
      <c r="K121" s="13"/>
      <c r="L121" s="73"/>
    </row>
    <row r="122" spans="1:12" x14ac:dyDescent="0.15">
      <c r="A122" s="55"/>
      <c r="B122" s="20"/>
      <c r="C122" s="19"/>
      <c r="D122" s="19"/>
      <c r="E122" s="19"/>
      <c r="F122" s="19"/>
      <c r="G122" s="19"/>
      <c r="H122" s="19"/>
      <c r="I122" s="19"/>
      <c r="J122" s="19"/>
      <c r="K122" s="13"/>
      <c r="L122" s="73"/>
    </row>
    <row r="123" spans="1:12" ht="16.5" x14ac:dyDescent="0.15">
      <c r="A123" s="55"/>
      <c r="B123" s="20"/>
      <c r="C123" s="2" t="s">
        <v>153</v>
      </c>
      <c r="D123" s="83">
        <f>IF(OR(C119="",F119="",C121="",C121=0,J119="",J119=0,F119=0,C119=0),"",C119*F119*J119*C121/1000)</f>
        <v>70.8</v>
      </c>
      <c r="E123" s="19" t="s">
        <v>71</v>
      </c>
      <c r="F123" s="19"/>
      <c r="G123" s="19"/>
      <c r="H123" s="19"/>
      <c r="I123" s="19"/>
      <c r="J123" s="19"/>
      <c r="K123" s="13"/>
      <c r="L123" s="73"/>
    </row>
    <row r="124" spans="1:12" x14ac:dyDescent="0.15">
      <c r="A124" s="55"/>
      <c r="B124" s="20"/>
      <c r="C124" s="19"/>
      <c r="D124" s="19"/>
      <c r="E124" s="19"/>
      <c r="F124" s="19"/>
      <c r="G124" s="19"/>
      <c r="H124" s="19"/>
      <c r="I124" s="19"/>
      <c r="J124" s="19"/>
      <c r="K124" s="13"/>
      <c r="L124" s="73"/>
    </row>
    <row r="125" spans="1:12" ht="16.5" x14ac:dyDescent="0.15">
      <c r="A125" s="55"/>
      <c r="B125" s="11" t="s">
        <v>145</v>
      </c>
      <c r="C125" s="7">
        <v>151.80000000000001</v>
      </c>
      <c r="D125" s="19" t="s">
        <v>71</v>
      </c>
      <c r="E125" s="197" t="s">
        <v>150</v>
      </c>
      <c r="F125" s="197"/>
      <c r="G125" s="197"/>
      <c r="H125" s="197"/>
      <c r="I125" s="112">
        <v>120</v>
      </c>
      <c r="J125" s="19" t="s">
        <v>71</v>
      </c>
      <c r="K125" s="13"/>
      <c r="L125" s="73"/>
    </row>
    <row r="126" spans="1:12" x14ac:dyDescent="0.15">
      <c r="A126" s="55"/>
      <c r="B126" s="20"/>
      <c r="C126" s="5"/>
      <c r="D126" s="19"/>
      <c r="E126" s="19"/>
      <c r="F126" s="19"/>
      <c r="G126" s="19"/>
      <c r="H126" s="19"/>
      <c r="I126" s="2"/>
      <c r="J126" s="19"/>
      <c r="K126" s="13"/>
      <c r="L126" s="73"/>
    </row>
    <row r="127" spans="1:12" ht="16.5" x14ac:dyDescent="0.15">
      <c r="A127" s="55"/>
      <c r="B127" s="11" t="s">
        <v>146</v>
      </c>
      <c r="C127" s="7">
        <v>16.600000000000001</v>
      </c>
      <c r="D127" s="19" t="s">
        <v>71</v>
      </c>
      <c r="E127" s="197" t="s">
        <v>151</v>
      </c>
      <c r="F127" s="197"/>
      <c r="G127" s="197"/>
      <c r="H127" s="197"/>
      <c r="I127" s="112">
        <v>531.1</v>
      </c>
      <c r="J127" s="19" t="s">
        <v>71</v>
      </c>
      <c r="K127" s="13"/>
      <c r="L127" s="73"/>
    </row>
    <row r="128" spans="1:12" x14ac:dyDescent="0.15">
      <c r="A128" s="55"/>
      <c r="B128" s="20"/>
      <c r="C128" s="5"/>
      <c r="D128" s="19"/>
      <c r="E128" s="85"/>
      <c r="F128" s="19"/>
      <c r="G128" s="19"/>
      <c r="H128" s="19"/>
      <c r="I128" s="2"/>
      <c r="J128" s="19"/>
      <c r="K128" s="13"/>
      <c r="L128" s="73"/>
    </row>
    <row r="129" spans="1:12" ht="16.5" x14ac:dyDescent="0.15">
      <c r="A129" s="55"/>
      <c r="B129" s="11" t="s">
        <v>147</v>
      </c>
      <c r="C129" s="7">
        <v>188.4</v>
      </c>
      <c r="D129" s="19" t="s">
        <v>71</v>
      </c>
      <c r="E129" s="197" t="s">
        <v>152</v>
      </c>
      <c r="F129" s="197"/>
      <c r="G129" s="197"/>
      <c r="H129" s="197"/>
      <c r="I129" s="112">
        <v>70.8</v>
      </c>
      <c r="J129" s="19" t="s">
        <v>71</v>
      </c>
      <c r="K129" s="13"/>
      <c r="L129" s="73"/>
    </row>
    <row r="130" spans="1:12" x14ac:dyDescent="0.15">
      <c r="A130" s="55"/>
      <c r="B130" s="20"/>
      <c r="C130" s="5"/>
      <c r="D130" s="19"/>
      <c r="E130" s="19"/>
      <c r="F130" s="19"/>
      <c r="G130" s="19"/>
      <c r="H130" s="19"/>
      <c r="I130" s="2"/>
      <c r="J130" s="19"/>
      <c r="K130" s="13"/>
      <c r="L130" s="73"/>
    </row>
    <row r="131" spans="1:12" ht="16.5" x14ac:dyDescent="0.15">
      <c r="A131" s="55"/>
      <c r="B131" s="11" t="s">
        <v>148</v>
      </c>
      <c r="C131" s="7">
        <v>61.2</v>
      </c>
      <c r="D131" s="19" t="s">
        <v>71</v>
      </c>
      <c r="E131" s="197" t="s">
        <v>149</v>
      </c>
      <c r="F131" s="197"/>
      <c r="G131" s="197"/>
      <c r="H131" s="197"/>
      <c r="I131" s="112">
        <v>30</v>
      </c>
      <c r="J131" s="19" t="s">
        <v>71</v>
      </c>
      <c r="K131" s="13"/>
      <c r="L131" s="73"/>
    </row>
    <row r="132" spans="1:12" x14ac:dyDescent="0.15">
      <c r="A132" s="55"/>
      <c r="B132" s="20"/>
      <c r="C132" s="19"/>
      <c r="D132" s="19"/>
      <c r="E132" s="19"/>
      <c r="F132" s="19"/>
      <c r="G132" s="19"/>
      <c r="H132" s="19"/>
      <c r="I132" s="19"/>
      <c r="J132" s="19"/>
      <c r="K132" s="13"/>
      <c r="L132" s="73"/>
    </row>
    <row r="133" spans="1:12" ht="16.5" x14ac:dyDescent="0.15">
      <c r="A133" s="55"/>
      <c r="B133" s="200" t="s">
        <v>154</v>
      </c>
      <c r="C133" s="210"/>
      <c r="D133" s="211">
        <f>IF(AND(C125="",C127="",C129="",C131="",I125="",I127="",I129="",I131=""),"",SUM(C125,C127,C129,C131,I125,I127,I129,I131))</f>
        <v>1169.8999999999999</v>
      </c>
      <c r="E133" s="212"/>
      <c r="F133" s="29" t="s">
        <v>91</v>
      </c>
      <c r="G133" s="197"/>
      <c r="H133" s="197"/>
      <c r="I133" s="197"/>
      <c r="J133" s="213"/>
      <c r="K133" s="214"/>
      <c r="L133" s="73"/>
    </row>
    <row r="134" spans="1:12" ht="15" thickBot="1" x14ac:dyDescent="0.2">
      <c r="A134" s="55"/>
      <c r="B134" s="15"/>
      <c r="C134" s="16"/>
      <c r="D134" s="16"/>
      <c r="E134" s="16"/>
      <c r="F134" s="16"/>
      <c r="G134" s="16"/>
      <c r="H134" s="16"/>
      <c r="I134" s="16"/>
      <c r="J134" s="16"/>
      <c r="K134" s="17"/>
      <c r="L134" s="73"/>
    </row>
    <row r="135" spans="1:12" x14ac:dyDescent="0.15">
      <c r="A135" s="119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8"/>
    </row>
  </sheetData>
  <mergeCells count="71">
    <mergeCell ref="J64:K64"/>
    <mergeCell ref="F103:G103"/>
    <mergeCell ref="B107:C107"/>
    <mergeCell ref="D107:E107"/>
    <mergeCell ref="I107:K107"/>
    <mergeCell ref="B99:C99"/>
    <mergeCell ref="D99:E99"/>
    <mergeCell ref="D93:E93"/>
    <mergeCell ref="F97:G97"/>
    <mergeCell ref="B112:C112"/>
    <mergeCell ref="D112:E112"/>
    <mergeCell ref="B105:C105"/>
    <mergeCell ref="E60:H60"/>
    <mergeCell ref="E62:H62"/>
    <mergeCell ref="B70:C70"/>
    <mergeCell ref="F70:G70"/>
    <mergeCell ref="G82:I82"/>
    <mergeCell ref="B21:C21"/>
    <mergeCell ref="F21:I21"/>
    <mergeCell ref="A1:L1"/>
    <mergeCell ref="B52:C52"/>
    <mergeCell ref="F52:G52"/>
    <mergeCell ref="A49:L49"/>
    <mergeCell ref="B43:C43"/>
    <mergeCell ref="B33:J33"/>
    <mergeCell ref="G35:I43"/>
    <mergeCell ref="F31:I31"/>
    <mergeCell ref="B35:C35"/>
    <mergeCell ref="B37:C37"/>
    <mergeCell ref="B41:C41"/>
    <mergeCell ref="B3:F3"/>
    <mergeCell ref="H3:L3"/>
    <mergeCell ref="D64:E64"/>
    <mergeCell ref="B64:C64"/>
    <mergeCell ref="G64:I64"/>
    <mergeCell ref="E56:H56"/>
    <mergeCell ref="E58:H58"/>
    <mergeCell ref="B23:C23"/>
    <mergeCell ref="B27:C27"/>
    <mergeCell ref="B39:C39"/>
    <mergeCell ref="B17:J17"/>
    <mergeCell ref="H19:J19"/>
    <mergeCell ref="F23:H23"/>
    <mergeCell ref="F27:G27"/>
    <mergeCell ref="B19:C19"/>
    <mergeCell ref="B110:C110"/>
    <mergeCell ref="B66:K66"/>
    <mergeCell ref="A116:L116"/>
    <mergeCell ref="F119:G119"/>
    <mergeCell ref="E74:H74"/>
    <mergeCell ref="E76:H76"/>
    <mergeCell ref="E78:H78"/>
    <mergeCell ref="E80:H80"/>
    <mergeCell ref="B82:C82"/>
    <mergeCell ref="D82:E82"/>
    <mergeCell ref="B88:C88"/>
    <mergeCell ref="E88:H88"/>
    <mergeCell ref="I93:J93"/>
    <mergeCell ref="I99:J99"/>
    <mergeCell ref="F91:G91"/>
    <mergeCell ref="B93:C93"/>
    <mergeCell ref="J133:K133"/>
    <mergeCell ref="E125:H125"/>
    <mergeCell ref="E127:H127"/>
    <mergeCell ref="E129:H129"/>
    <mergeCell ref="E131:H131"/>
    <mergeCell ref="D119:E119"/>
    <mergeCell ref="H119:I119"/>
    <mergeCell ref="B133:C133"/>
    <mergeCell ref="D133:E133"/>
    <mergeCell ref="G133:I133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F5" sqref="F5"/>
    </sheetView>
  </sheetViews>
  <sheetFormatPr defaultRowHeight="14.25" x14ac:dyDescent="0.15"/>
  <cols>
    <col min="1" max="1" width="17.625" customWidth="1"/>
  </cols>
  <sheetData>
    <row r="1" spans="1:11" x14ac:dyDescent="0.15">
      <c r="A1" s="189" t="s">
        <v>142</v>
      </c>
      <c r="B1" s="190"/>
      <c r="C1" s="190"/>
      <c r="D1" s="190"/>
      <c r="E1" s="191"/>
    </row>
    <row r="2" spans="1:11" ht="20.100000000000001" customHeight="1" x14ac:dyDescent="0.15">
      <c r="A2" s="51"/>
      <c r="B2" s="21"/>
      <c r="C2" s="21"/>
      <c r="D2" s="21"/>
      <c r="E2" s="52"/>
    </row>
    <row r="3" spans="1:11" ht="20.100000000000001" customHeight="1" x14ac:dyDescent="0.15">
      <c r="A3" s="215" t="s">
        <v>139</v>
      </c>
      <c r="B3" s="216"/>
      <c r="C3" s="99">
        <v>186</v>
      </c>
      <c r="D3" s="90" t="s">
        <v>141</v>
      </c>
      <c r="E3" s="52"/>
    </row>
    <row r="4" spans="1:11" ht="20.100000000000001" customHeight="1" x14ac:dyDescent="0.15">
      <c r="A4" s="131"/>
      <c r="B4" s="132"/>
      <c r="C4" s="107"/>
      <c r="D4" s="21"/>
      <c r="E4" s="52"/>
    </row>
    <row r="5" spans="1:11" ht="20.100000000000001" customHeight="1" x14ac:dyDescent="0.15">
      <c r="A5" s="215" t="s">
        <v>140</v>
      </c>
      <c r="B5" s="216"/>
      <c r="C5" s="99">
        <v>47.1</v>
      </c>
      <c r="D5" s="90" t="s">
        <v>141</v>
      </c>
      <c r="E5" s="52"/>
    </row>
    <row r="6" spans="1:11" ht="20.100000000000001" customHeight="1" x14ac:dyDescent="0.15">
      <c r="A6" s="51"/>
      <c r="B6" s="21"/>
      <c r="C6" s="21"/>
      <c r="D6" s="21"/>
      <c r="E6" s="52"/>
    </row>
    <row r="7" spans="1:11" ht="20.100000000000001" customHeight="1" x14ac:dyDescent="0.15">
      <c r="A7" s="196" t="s">
        <v>132</v>
      </c>
      <c r="B7" s="197"/>
      <c r="C7" s="109">
        <v>12</v>
      </c>
      <c r="D7" s="5" t="s">
        <v>133</v>
      </c>
      <c r="E7" s="13"/>
    </row>
    <row r="8" spans="1:11" ht="20.100000000000001" customHeight="1" x14ac:dyDescent="0.15">
      <c r="A8" s="20"/>
      <c r="B8" s="2"/>
      <c r="C8" s="29"/>
      <c r="D8" s="19"/>
      <c r="E8" s="13"/>
    </row>
    <row r="9" spans="1:11" ht="20.100000000000001" customHeight="1" x14ac:dyDescent="0.15">
      <c r="A9" s="196" t="s">
        <v>136</v>
      </c>
      <c r="B9" s="202"/>
      <c r="C9" s="110">
        <f>IF(OR(AND(C3="",C5=""),AND(C3=0,C5=0),C7="",C7=0),"",IF((C3+C5)&lt;=C7,1,IF(((C3+C5)/C7-TRUNC((C3+C5)/C7,0))&gt;0.2,1+TRUNC((C3+C5)/C7,0),TRUNC((C3+C5)/C7,0))))</f>
        <v>20</v>
      </c>
      <c r="D9" s="208" t="s">
        <v>137</v>
      </c>
      <c r="E9" s="248"/>
    </row>
    <row r="10" spans="1:11" ht="5.25" customHeight="1" x14ac:dyDescent="0.15">
      <c r="A10" s="20"/>
      <c r="B10" s="2"/>
      <c r="C10" s="29"/>
      <c r="D10" s="19"/>
      <c r="E10" s="13"/>
    </row>
    <row r="11" spans="1:11" ht="20.100000000000001" customHeight="1" x14ac:dyDescent="0.15">
      <c r="A11" s="249" t="s">
        <v>143</v>
      </c>
      <c r="B11" s="235"/>
      <c r="C11" s="235"/>
      <c r="D11" s="235"/>
      <c r="E11" s="13"/>
    </row>
    <row r="12" spans="1:11" ht="4.5" customHeight="1" x14ac:dyDescent="0.15">
      <c r="A12" s="20"/>
      <c r="B12" s="2"/>
      <c r="C12" s="29"/>
      <c r="D12" s="19"/>
      <c r="E12" s="13"/>
    </row>
    <row r="13" spans="1:11" ht="20.100000000000001" customHeight="1" x14ac:dyDescent="0.15">
      <c r="A13" s="11" t="s">
        <v>135</v>
      </c>
      <c r="B13" s="2" t="s">
        <v>134</v>
      </c>
      <c r="C13" s="110">
        <f>IF(OR(AND(C3="",C5=""),AND(C3=0,C5=0),C7="",C7=0),"",IF((C3+C5)&lt;=1.2*C7,1,IF(((C3+C5)/(1.2*C7)-TRUNC((C3+C5)/(1.2*C7),0))/TRUNC((C3+C5)/(1.2*C7),0)&gt;0.24,1+TRUNC((C3+C5)/(1.2*C7),0),TRUNC((C3+C5)/(1.2*C7),0))))</f>
        <v>16</v>
      </c>
      <c r="D13" s="208" t="s">
        <v>138</v>
      </c>
      <c r="E13" s="248"/>
    </row>
    <row r="14" spans="1:11" ht="20.100000000000001" customHeight="1" thickBot="1" x14ac:dyDescent="0.2">
      <c r="A14" s="15"/>
      <c r="B14" s="30"/>
      <c r="C14" s="16"/>
      <c r="D14" s="16"/>
      <c r="E14" s="17"/>
      <c r="K14" s="108"/>
    </row>
    <row r="16" spans="1:11" s="9" customFormat="1" ht="27.75" customHeight="1" x14ac:dyDescent="0.15">
      <c r="A16" s="127" t="s">
        <v>162</v>
      </c>
      <c r="B16" s="127"/>
      <c r="C16" s="127"/>
      <c r="D16" s="127"/>
      <c r="E16" s="127"/>
      <c r="F16" s="127"/>
      <c r="G16" s="127"/>
      <c r="H16" s="127"/>
      <c r="I16" s="127"/>
    </row>
  </sheetData>
  <mergeCells count="8">
    <mergeCell ref="D13:E13"/>
    <mergeCell ref="A3:B3"/>
    <mergeCell ref="A5:B5"/>
    <mergeCell ref="A11:D11"/>
    <mergeCell ref="A1:E1"/>
    <mergeCell ref="A7:B7"/>
    <mergeCell ref="A9:B9"/>
    <mergeCell ref="D9:E9"/>
  </mergeCells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8"/>
  <sheetViews>
    <sheetView workbookViewId="0">
      <selection activeCell="BJ20" sqref="BJ20"/>
    </sheetView>
  </sheetViews>
  <sheetFormatPr defaultColWidth="1.625" defaultRowHeight="18" customHeight="1" x14ac:dyDescent="0.15"/>
  <cols>
    <col min="1" max="16384" width="1.625" style="9"/>
  </cols>
  <sheetData>
    <row r="1" spans="2:29" ht="18" customHeight="1" thickBot="1" x14ac:dyDescent="0.2"/>
    <row r="2" spans="2:29" ht="18" customHeight="1" x14ac:dyDescent="0.15">
      <c r="B2" s="255" t="s">
        <v>215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7"/>
    </row>
    <row r="3" spans="2:29" ht="7.5" customHeight="1" x14ac:dyDescent="0.15">
      <c r="B3" s="20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3"/>
    </row>
    <row r="4" spans="2:29" ht="18" customHeight="1" x14ac:dyDescent="0.15">
      <c r="B4" s="20"/>
      <c r="C4" s="19"/>
      <c r="D4" s="19"/>
      <c r="E4" s="235" t="s">
        <v>200</v>
      </c>
      <c r="F4" s="235"/>
      <c r="G4" s="235"/>
      <c r="H4" s="235"/>
      <c r="I4" s="235"/>
      <c r="J4" s="235"/>
      <c r="K4" s="252">
        <v>6</v>
      </c>
      <c r="L4" s="253"/>
      <c r="M4" s="253"/>
      <c r="N4" s="254"/>
      <c r="O4" s="251" t="s">
        <v>24</v>
      </c>
      <c r="P4" s="251"/>
      <c r="Q4" s="19"/>
      <c r="R4" s="235" t="s">
        <v>199</v>
      </c>
      <c r="S4" s="235"/>
      <c r="T4" s="235"/>
      <c r="U4" s="235"/>
      <c r="V4" s="252">
        <v>2.5</v>
      </c>
      <c r="W4" s="253"/>
      <c r="X4" s="253"/>
      <c r="Y4" s="254"/>
      <c r="Z4" s="251" t="s">
        <v>24</v>
      </c>
      <c r="AA4" s="251"/>
      <c r="AB4" s="19"/>
      <c r="AC4" s="13"/>
    </row>
    <row r="5" spans="2:29" ht="6" customHeight="1" x14ac:dyDescent="0.15"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3"/>
    </row>
    <row r="6" spans="2:29" ht="18" customHeight="1" x14ac:dyDescent="0.15">
      <c r="B6" s="20"/>
      <c r="C6" s="19"/>
      <c r="D6" s="19"/>
      <c r="E6" s="235" t="s">
        <v>201</v>
      </c>
      <c r="F6" s="235"/>
      <c r="G6" s="235"/>
      <c r="H6" s="235"/>
      <c r="I6" s="235"/>
      <c r="J6" s="235"/>
      <c r="K6" s="258">
        <f>IF(OR(K4=0,V4=0),"",IF(V4=1,SUM(ROUND(K4*7.85,1),2),IF(OR(V4=1.5,V4=2.5),SUM(ROUND(K4*7.85,1),3),IF(V4=2,SUM(ROUND(K4*7.85,1),4),"纹高不符"))))</f>
        <v>50.1</v>
      </c>
      <c r="L6" s="258"/>
      <c r="M6" s="258"/>
      <c r="N6" s="258"/>
      <c r="O6" s="258"/>
      <c r="P6" s="258"/>
      <c r="Q6" s="235" t="s">
        <v>206</v>
      </c>
      <c r="R6" s="235"/>
      <c r="S6" s="235"/>
      <c r="T6" s="235"/>
      <c r="U6" s="19"/>
      <c r="V6" s="19"/>
      <c r="W6" s="19"/>
      <c r="X6" s="19"/>
      <c r="Y6" s="19"/>
      <c r="Z6" s="19"/>
      <c r="AA6" s="19"/>
      <c r="AB6" s="19"/>
      <c r="AC6" s="13"/>
    </row>
    <row r="7" spans="2:29" ht="6" customHeight="1" x14ac:dyDescent="0.15">
      <c r="B7" s="2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3"/>
    </row>
    <row r="8" spans="2:29" ht="18" customHeight="1" x14ac:dyDescent="0.15">
      <c r="B8" s="20"/>
      <c r="C8" s="260" t="s">
        <v>214</v>
      </c>
      <c r="D8" s="260"/>
      <c r="E8" s="260"/>
      <c r="F8" s="260"/>
      <c r="G8" s="2"/>
      <c r="H8" s="197" t="s">
        <v>211</v>
      </c>
      <c r="I8" s="197"/>
      <c r="J8" s="202"/>
      <c r="K8" s="252">
        <v>1.19</v>
      </c>
      <c r="L8" s="253"/>
      <c r="M8" s="253"/>
      <c r="N8" s="254"/>
      <c r="O8" s="251" t="s">
        <v>203</v>
      </c>
      <c r="P8" s="251"/>
      <c r="Q8" s="19"/>
      <c r="R8" s="197" t="s">
        <v>202</v>
      </c>
      <c r="S8" s="197"/>
      <c r="T8" s="197"/>
      <c r="U8" s="197"/>
      <c r="V8" s="221">
        <v>0.56000000000000005</v>
      </c>
      <c r="W8" s="250"/>
      <c r="X8" s="250"/>
      <c r="Y8" s="222"/>
      <c r="Z8" s="251" t="s">
        <v>203</v>
      </c>
      <c r="AA8" s="251"/>
      <c r="AB8" s="19"/>
      <c r="AC8" s="13"/>
    </row>
    <row r="9" spans="2:29" ht="6" customHeight="1" x14ac:dyDescent="0.15">
      <c r="B9" s="20"/>
      <c r="C9" s="19"/>
      <c r="D9" s="19"/>
      <c r="E9" s="2"/>
      <c r="F9" s="2"/>
      <c r="G9" s="2"/>
      <c r="H9" s="2"/>
      <c r="I9" s="2"/>
      <c r="J9" s="2"/>
      <c r="K9" s="19"/>
      <c r="L9" s="19"/>
      <c r="M9" s="19"/>
      <c r="N9" s="19"/>
      <c r="O9" s="5"/>
      <c r="P9" s="5"/>
      <c r="Q9" s="19"/>
      <c r="R9" s="2"/>
      <c r="S9" s="2"/>
      <c r="T9" s="2"/>
      <c r="U9" s="2"/>
      <c r="V9" s="5"/>
      <c r="W9" s="5"/>
      <c r="X9" s="5"/>
      <c r="Y9" s="5"/>
      <c r="Z9" s="5"/>
      <c r="AA9" s="5"/>
      <c r="AB9" s="19"/>
      <c r="AC9" s="13"/>
    </row>
    <row r="10" spans="2:29" ht="18" customHeight="1" x14ac:dyDescent="0.15">
      <c r="B10" s="20"/>
      <c r="C10" s="19"/>
      <c r="D10" s="19"/>
      <c r="E10" s="19"/>
      <c r="F10" s="19"/>
      <c r="G10" s="235" t="s">
        <v>204</v>
      </c>
      <c r="H10" s="235"/>
      <c r="I10" s="235"/>
      <c r="J10" s="235"/>
      <c r="K10" s="252">
        <v>1</v>
      </c>
      <c r="L10" s="253"/>
      <c r="M10" s="253"/>
      <c r="N10" s="254"/>
      <c r="O10" s="251" t="s">
        <v>205</v>
      </c>
      <c r="P10" s="251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3"/>
    </row>
    <row r="11" spans="2:29" ht="6.75" customHeight="1" x14ac:dyDescent="0.15"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3"/>
    </row>
    <row r="12" spans="2:29" ht="18" customHeight="1" x14ac:dyDescent="0.15">
      <c r="B12" s="20"/>
      <c r="C12" s="19"/>
      <c r="D12" s="19"/>
      <c r="E12" s="197" t="s">
        <v>209</v>
      </c>
      <c r="F12" s="197"/>
      <c r="G12" s="197"/>
      <c r="H12" s="197"/>
      <c r="I12" s="197"/>
      <c r="J12" s="197"/>
      <c r="K12" s="246">
        <f>IF(OR(K8=0,V8=0,K10=0),"",ROUND(K8*V8,1))</f>
        <v>0.7</v>
      </c>
      <c r="L12" s="246"/>
      <c r="M12" s="246"/>
      <c r="N12" s="246"/>
      <c r="O12" s="246"/>
      <c r="P12" s="246"/>
      <c r="Q12" s="251" t="s">
        <v>210</v>
      </c>
      <c r="R12" s="251"/>
      <c r="S12" s="259" t="str">
        <f>IF(OR(V4=0,K6="纹高不符"),"",IF(V4=2.5,"扁豆形花纹钢板","菱形花纹钢板"))</f>
        <v>扁豆形花纹钢板</v>
      </c>
      <c r="T12" s="259"/>
      <c r="U12" s="259"/>
      <c r="V12" s="259"/>
      <c r="W12" s="259"/>
      <c r="X12" s="259"/>
      <c r="Y12" s="259"/>
      <c r="Z12" s="259"/>
      <c r="AA12" s="259"/>
      <c r="AB12" s="259"/>
      <c r="AC12" s="13"/>
    </row>
    <row r="13" spans="2:29" ht="6" customHeight="1" x14ac:dyDescent="0.15">
      <c r="B13" s="20"/>
      <c r="C13" s="19"/>
      <c r="D13" s="19"/>
      <c r="E13" s="19"/>
      <c r="F13" s="19"/>
      <c r="G13" s="19"/>
      <c r="H13" s="19"/>
      <c r="I13" s="19"/>
      <c r="J13" s="19"/>
      <c r="K13" s="21"/>
      <c r="L13" s="21"/>
      <c r="M13" s="21"/>
      <c r="N13" s="21"/>
      <c r="O13" s="21"/>
      <c r="P13" s="21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3"/>
    </row>
    <row r="14" spans="2:29" ht="18" customHeight="1" x14ac:dyDescent="0.15">
      <c r="B14" s="20"/>
      <c r="C14" s="19"/>
      <c r="D14" s="197" t="s">
        <v>208</v>
      </c>
      <c r="E14" s="197"/>
      <c r="F14" s="197"/>
      <c r="G14" s="197"/>
      <c r="H14" s="197"/>
      <c r="I14" s="197"/>
      <c r="J14" s="197"/>
      <c r="K14" s="246">
        <f>K6*K12</f>
        <v>35.07</v>
      </c>
      <c r="L14" s="246"/>
      <c r="M14" s="246"/>
      <c r="N14" s="246"/>
      <c r="O14" s="246"/>
      <c r="P14" s="246"/>
      <c r="Q14" s="251" t="s">
        <v>207</v>
      </c>
      <c r="R14" s="251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3"/>
    </row>
    <row r="15" spans="2:29" ht="6" customHeight="1" x14ac:dyDescent="0.15">
      <c r="B15" s="20"/>
      <c r="C15" s="19"/>
      <c r="D15" s="19"/>
      <c r="E15" s="19"/>
      <c r="F15" s="19"/>
      <c r="G15" s="19"/>
      <c r="H15" s="19"/>
      <c r="I15" s="19"/>
      <c r="J15" s="19"/>
      <c r="K15" s="21"/>
      <c r="L15" s="21"/>
      <c r="M15" s="21"/>
      <c r="N15" s="21"/>
      <c r="O15" s="21"/>
      <c r="P15" s="21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3"/>
    </row>
    <row r="16" spans="2:29" ht="18" customHeight="1" x14ac:dyDescent="0.15">
      <c r="B16" s="20"/>
      <c r="C16" s="19"/>
      <c r="D16" s="197" t="s">
        <v>212</v>
      </c>
      <c r="E16" s="197"/>
      <c r="F16" s="197"/>
      <c r="G16" s="197"/>
      <c r="H16" s="197"/>
      <c r="I16" s="197"/>
      <c r="J16" s="197"/>
      <c r="K16" s="244">
        <f>K14/1000</f>
        <v>3.5069999999999997E-2</v>
      </c>
      <c r="L16" s="244"/>
      <c r="M16" s="244"/>
      <c r="N16" s="244"/>
      <c r="O16" s="244"/>
      <c r="P16" s="244"/>
      <c r="Q16" s="251" t="s">
        <v>213</v>
      </c>
      <c r="R16" s="251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3"/>
    </row>
    <row r="17" spans="1:47" ht="6.75" customHeight="1" thickBot="1" x14ac:dyDescent="0.2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7"/>
    </row>
    <row r="20" spans="1:47" ht="18" customHeight="1" thickBot="1" x14ac:dyDescent="0.2"/>
    <row r="21" spans="1:47" ht="18" customHeight="1" thickBot="1" x14ac:dyDescent="0.2">
      <c r="A21" s="261" t="s">
        <v>218</v>
      </c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  <c r="AR21" s="262"/>
      <c r="AS21" s="262"/>
      <c r="AT21" s="262"/>
      <c r="AU21" s="263"/>
    </row>
    <row r="22" spans="1:47" ht="5.0999999999999996" customHeight="1" x14ac:dyDescent="0.15">
      <c r="A22" s="142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4"/>
    </row>
    <row r="23" spans="1:47" ht="18" customHeight="1" x14ac:dyDescent="0.15">
      <c r="A23" s="142"/>
      <c r="B23" s="143"/>
      <c r="C23" s="264" t="s">
        <v>219</v>
      </c>
      <c r="D23" s="264"/>
      <c r="E23" s="264"/>
      <c r="F23" s="264"/>
      <c r="G23" s="265"/>
      <c r="H23" s="266">
        <v>6</v>
      </c>
      <c r="I23" s="267"/>
      <c r="J23" s="267"/>
      <c r="K23" s="267"/>
      <c r="L23" s="267"/>
      <c r="M23" s="268"/>
      <c r="N23" s="269" t="s">
        <v>220</v>
      </c>
      <c r="O23" s="270"/>
      <c r="P23" s="143"/>
      <c r="Q23" s="271" t="s">
        <v>221</v>
      </c>
      <c r="R23" s="271"/>
      <c r="S23" s="271"/>
      <c r="T23" s="271"/>
      <c r="U23" s="272"/>
      <c r="V23" s="266">
        <v>1</v>
      </c>
      <c r="W23" s="267"/>
      <c r="X23" s="267"/>
      <c r="Y23" s="268"/>
      <c r="Z23" s="143"/>
      <c r="AA23" s="143"/>
      <c r="AB23" s="143"/>
      <c r="AC23" s="145"/>
      <c r="AD23" s="145"/>
      <c r="AE23" s="145"/>
      <c r="AF23" s="145"/>
      <c r="AG23" s="145"/>
      <c r="AH23" s="145"/>
      <c r="AI23" s="145"/>
      <c r="AJ23" s="145"/>
      <c r="AK23" s="145"/>
      <c r="AL23" s="143"/>
      <c r="AM23" s="143"/>
      <c r="AN23" s="143"/>
      <c r="AO23" s="143"/>
      <c r="AP23" s="143"/>
      <c r="AQ23" s="143"/>
      <c r="AR23" s="143"/>
      <c r="AS23" s="143"/>
      <c r="AT23" s="143"/>
      <c r="AU23" s="144"/>
    </row>
    <row r="24" spans="1:47" ht="5.0999999999999996" customHeight="1" x14ac:dyDescent="0.15">
      <c r="A24" s="146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7"/>
    </row>
    <row r="25" spans="1:47" ht="18" customHeight="1" x14ac:dyDescent="0.15">
      <c r="A25" s="146"/>
      <c r="B25" s="145"/>
      <c r="C25" s="276" t="s">
        <v>222</v>
      </c>
      <c r="D25" s="276"/>
      <c r="E25" s="276"/>
      <c r="F25" s="276"/>
      <c r="G25" s="149" t="s">
        <v>223</v>
      </c>
      <c r="H25" s="273">
        <v>300</v>
      </c>
      <c r="I25" s="274"/>
      <c r="J25" s="275"/>
      <c r="K25" s="150" t="s">
        <v>224</v>
      </c>
      <c r="L25" s="273">
        <v>200</v>
      </c>
      <c r="M25" s="274"/>
      <c r="N25" s="275"/>
      <c r="O25" s="150" t="s">
        <v>224</v>
      </c>
      <c r="P25" s="273">
        <v>6</v>
      </c>
      <c r="Q25" s="275"/>
      <c r="R25" s="150" t="s">
        <v>224</v>
      </c>
      <c r="S25" s="273">
        <v>8</v>
      </c>
      <c r="T25" s="274"/>
      <c r="U25" s="27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 t="s">
        <v>225</v>
      </c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7"/>
    </row>
    <row r="26" spans="1:47" ht="5.0999999999999996" customHeight="1" x14ac:dyDescent="0.15">
      <c r="A26" s="146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7"/>
    </row>
    <row r="27" spans="1:47" ht="18" customHeight="1" x14ac:dyDescent="0.15">
      <c r="A27" s="146"/>
      <c r="B27" s="145"/>
      <c r="C27" s="276" t="s">
        <v>226</v>
      </c>
      <c r="D27" s="276"/>
      <c r="E27" s="276"/>
      <c r="F27" s="276"/>
      <c r="G27" s="276"/>
      <c r="H27" s="149" t="s">
        <v>223</v>
      </c>
      <c r="I27" s="273"/>
      <c r="J27" s="274"/>
      <c r="K27" s="275"/>
      <c r="L27" s="150" t="s">
        <v>227</v>
      </c>
      <c r="M27" s="273"/>
      <c r="N27" s="274"/>
      <c r="O27" s="275"/>
      <c r="P27" s="151" t="s">
        <v>228</v>
      </c>
      <c r="Q27" s="273"/>
      <c r="R27" s="274"/>
      <c r="S27" s="275"/>
      <c r="T27" s="145" t="s">
        <v>229</v>
      </c>
      <c r="U27" s="150" t="s">
        <v>227</v>
      </c>
      <c r="V27" s="273"/>
      <c r="W27" s="275"/>
      <c r="X27" s="150" t="s">
        <v>227</v>
      </c>
      <c r="Y27" s="273"/>
      <c r="Z27" s="275"/>
      <c r="AA27" s="151" t="s">
        <v>228</v>
      </c>
      <c r="AB27" s="273"/>
      <c r="AC27" s="275"/>
      <c r="AD27" s="145" t="s">
        <v>229</v>
      </c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7"/>
    </row>
    <row r="28" spans="1:47" ht="5.0999999999999996" customHeight="1" x14ac:dyDescent="0.15">
      <c r="A28" s="146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7"/>
    </row>
    <row r="29" spans="1:47" ht="18" customHeight="1" x14ac:dyDescent="0.15">
      <c r="A29" s="146"/>
      <c r="B29" s="148"/>
      <c r="C29" s="276" t="s">
        <v>230</v>
      </c>
      <c r="D29" s="276"/>
      <c r="E29" s="276"/>
      <c r="F29" s="276"/>
      <c r="G29" s="276"/>
      <c r="H29" s="276"/>
      <c r="I29" s="277" t="s">
        <v>231</v>
      </c>
      <c r="J29" s="277"/>
      <c r="K29" s="277"/>
      <c r="L29" s="273"/>
      <c r="M29" s="274"/>
      <c r="N29" s="275"/>
      <c r="O29" s="152" t="s">
        <v>224</v>
      </c>
      <c r="P29" s="273"/>
      <c r="Q29" s="274"/>
      <c r="R29" s="275"/>
      <c r="S29" s="152" t="s">
        <v>224</v>
      </c>
      <c r="T29" s="273"/>
      <c r="U29" s="275"/>
      <c r="V29" s="150" t="s">
        <v>224</v>
      </c>
      <c r="W29" s="281"/>
      <c r="X29" s="282"/>
      <c r="Y29" s="283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7"/>
    </row>
    <row r="30" spans="1:47" ht="5.0999999999999996" customHeight="1" x14ac:dyDescent="0.15">
      <c r="A30" s="146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7"/>
    </row>
    <row r="31" spans="1:47" ht="18" customHeight="1" x14ac:dyDescent="0.15">
      <c r="A31" s="146"/>
      <c r="B31" s="145"/>
      <c r="C31" s="276" t="s">
        <v>232</v>
      </c>
      <c r="D31" s="276"/>
      <c r="E31" s="276"/>
      <c r="F31" s="276"/>
      <c r="G31" s="276"/>
      <c r="H31" s="276"/>
      <c r="I31" s="276"/>
      <c r="J31" s="284" t="s">
        <v>233</v>
      </c>
      <c r="K31" s="284"/>
      <c r="L31" s="284"/>
      <c r="M31" s="284"/>
      <c r="N31" s="284"/>
      <c r="O31" s="284"/>
      <c r="P31" s="273"/>
      <c r="Q31" s="274"/>
      <c r="R31" s="275"/>
      <c r="S31" s="278" t="s">
        <v>24</v>
      </c>
      <c r="T31" s="279"/>
      <c r="U31" s="279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7"/>
    </row>
    <row r="32" spans="1:47" ht="5.0999999999999996" customHeight="1" x14ac:dyDescent="0.15">
      <c r="A32" s="146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7"/>
    </row>
    <row r="33" spans="1:47" ht="18" customHeight="1" x14ac:dyDescent="0.15">
      <c r="A33" s="146"/>
      <c r="B33" s="145"/>
      <c r="C33" s="276" t="s">
        <v>234</v>
      </c>
      <c r="D33" s="276"/>
      <c r="E33" s="276"/>
      <c r="F33" s="276"/>
      <c r="G33" s="280" t="s">
        <v>235</v>
      </c>
      <c r="H33" s="280"/>
      <c r="I33" s="273"/>
      <c r="J33" s="274"/>
      <c r="K33" s="275"/>
      <c r="L33" s="150" t="s">
        <v>224</v>
      </c>
      <c r="M33" s="273"/>
      <c r="N33" s="274"/>
      <c r="O33" s="275"/>
      <c r="P33" s="150" t="s">
        <v>224</v>
      </c>
      <c r="Q33" s="273"/>
      <c r="R33" s="27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7"/>
    </row>
    <row r="34" spans="1:47" ht="5.0999999999999996" customHeight="1" x14ac:dyDescent="0.15">
      <c r="A34" s="146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7"/>
    </row>
    <row r="35" spans="1:47" ht="18" customHeight="1" x14ac:dyDescent="0.15">
      <c r="A35" s="146"/>
      <c r="B35" s="145"/>
      <c r="C35" s="276" t="s">
        <v>236</v>
      </c>
      <c r="D35" s="276"/>
      <c r="E35" s="276"/>
      <c r="F35" s="276"/>
      <c r="G35" s="280" t="s">
        <v>237</v>
      </c>
      <c r="H35" s="280"/>
      <c r="I35" s="280"/>
      <c r="J35" s="273"/>
      <c r="K35" s="274"/>
      <c r="L35" s="275"/>
      <c r="M35" s="278" t="s">
        <v>24</v>
      </c>
      <c r="N35" s="279"/>
      <c r="O35" s="279"/>
      <c r="P35" s="150"/>
      <c r="Q35" s="150" t="s">
        <v>238</v>
      </c>
      <c r="R35" s="150"/>
      <c r="S35" s="150"/>
      <c r="T35" s="273"/>
      <c r="U35" s="274"/>
      <c r="V35" s="275"/>
      <c r="W35" s="278" t="s">
        <v>24</v>
      </c>
      <c r="X35" s="279"/>
      <c r="Y35" s="279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7"/>
    </row>
    <row r="36" spans="1:47" ht="18" customHeight="1" thickBot="1" x14ac:dyDescent="0.2">
      <c r="A36" s="146"/>
      <c r="B36" s="145"/>
      <c r="C36" s="148"/>
      <c r="D36" s="148"/>
      <c r="E36" s="148"/>
      <c r="F36" s="148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7"/>
    </row>
    <row r="37" spans="1:47" ht="18" customHeight="1" thickTop="1" thickBot="1" x14ac:dyDescent="0.2">
      <c r="A37" s="146"/>
      <c r="B37" s="276" t="s">
        <v>239</v>
      </c>
      <c r="C37" s="276"/>
      <c r="D37" s="276"/>
      <c r="E37" s="276"/>
      <c r="F37" s="276"/>
      <c r="G37" s="276"/>
      <c r="H37" s="288">
        <f>IF(OR(AC37=0,AC37="",V23=""),"",V23)</f>
        <v>1</v>
      </c>
      <c r="I37" s="289"/>
      <c r="J37" s="289"/>
      <c r="K37" s="287" t="str">
        <f>IF(OR(AND(H25&gt;0,L25&gt;0,P25&gt;0,S25&gt;0),AND(I27&gt;0,M27&gt;0,Q27&gt;0,V27&gt;0,Y27&gt;0,AB27&gt;0)),"根",IF(OR(AND(L29&gt;0,P29&gt;0,T29&gt;0,W29&gt;0),P31&gt;0),"条",IF(AND(I33&gt;0,M33&gt;0,Q33&gt;0),"支",IF(AND(J35&gt;0,T35&gt;0),"块",""))))</f>
        <v>根</v>
      </c>
      <c r="L37" s="287"/>
      <c r="M37" s="287">
        <f>IF(OR(AC37=0,AC37="",H23="",K37="块"),"",H23)</f>
        <v>6</v>
      </c>
      <c r="N37" s="287"/>
      <c r="O37" s="287"/>
      <c r="P37" s="287" t="str">
        <f>IF(OR(AC37="",H23="",V23="",K37="块"),"","米")</f>
        <v>米</v>
      </c>
      <c r="Q37" s="287"/>
      <c r="R37" s="287" t="str">
        <f>IF(AND(H23&lt;&gt;"",V23&lt;&gt;"",H25&gt;0,L25&gt;0,P25&gt;0,S25&gt;0),"H型钢表面积约",IF(AND(H23&lt;&gt;"",V23&lt;&gt;"",I27&gt;0,M27&gt;0,Q27&gt;0,V27&gt;0,Y27&gt;0,AB27&gt;0),"吊车梁表面积约",IF(AND(H23&lt;&gt;"",V23&lt;&gt;"",L29&gt;0,P29&gt;0,T29&gt;0,W29&gt;0),"C(Z)型钢表面积约",IF(AND(H23&lt;&gt;"",V23&lt;&gt;"",P31&gt;0),"圆钢(管)表面积约",IF(AND(H23&lt;&gt;"",V23&lt;&gt;"",I33&gt;0,M33&gt;0,Q33&gt;0),"角钢表面积约",IF(AND(H23&lt;&gt;"",V23&lt;&gt;"",J35&gt;0,T35&gt;0),"钢板表面积约",""))))))</f>
        <v>H型钢表面积约</v>
      </c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5">
        <f>IF(AND(H23&lt;&gt;"",V23&lt;&gt;"",H25&gt;0,L25&gt;0,P25&gt;0,S25&gt;0),H23*V23*(H25+2*L25-P25)/500,IF(AND(H23&lt;&gt;"",V23&lt;&gt;"",I27&gt;0,M27&gt;0,Q27&gt;0,V27&gt;0,Y27&gt;0,AB27&gt;0),H23*V23*(I27+M27+Q27-V27)/500,IF(AND(H23&lt;&gt;"",V23&lt;&gt;"",L29&gt;0,P29&gt;0,T29&gt;0,W29&gt;0),H23*V23*(L29+2*(P29+T29)+W29)/500,IF(AND(H23&lt;&gt;"",V23&lt;&gt;"",P31&gt;0),H23*V23*PI()*P31/1000,IF(AND(H23&lt;&gt;"",V23&lt;&gt;"",I33&gt;0,M33&gt;0,Q33&gt;0),H23*V23*(I33+M33)/500,IF(AND(H23&lt;&gt;"",V23&lt;&gt;"",J35&gt;0,T35&gt;0),2*V23*(H23*J35+H23*T35+J35*T35/1000)/1000,""))))))</f>
        <v>8.3279999999999994</v>
      </c>
      <c r="AD37" s="285"/>
      <c r="AE37" s="285"/>
      <c r="AF37" s="285"/>
      <c r="AG37" s="285"/>
      <c r="AH37" s="286"/>
      <c r="AI37" s="279" t="s">
        <v>240</v>
      </c>
      <c r="AJ37" s="280"/>
      <c r="AK37" s="280"/>
      <c r="AL37" s="145"/>
      <c r="AM37" s="145"/>
      <c r="AN37" s="145"/>
      <c r="AO37" s="145"/>
      <c r="AP37" s="145"/>
      <c r="AQ37" s="145"/>
      <c r="AR37" s="145"/>
      <c r="AS37" s="145"/>
      <c r="AT37" s="145"/>
      <c r="AU37" s="147"/>
    </row>
    <row r="38" spans="1:47" ht="5.0999999999999996" customHeight="1" thickTop="1" thickBot="1" x14ac:dyDescent="0.2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5"/>
    </row>
  </sheetData>
  <mergeCells count="77">
    <mergeCell ref="B37:G37"/>
    <mergeCell ref="H37:J37"/>
    <mergeCell ref="K37:L37"/>
    <mergeCell ref="M37:O37"/>
    <mergeCell ref="C35:F35"/>
    <mergeCell ref="G35:I35"/>
    <mergeCell ref="J35:L35"/>
    <mergeCell ref="M35:O35"/>
    <mergeCell ref="C33:F33"/>
    <mergeCell ref="AC37:AH37"/>
    <mergeCell ref="AI37:AK37"/>
    <mergeCell ref="P37:Q37"/>
    <mergeCell ref="R37:AB37"/>
    <mergeCell ref="Q33:R33"/>
    <mergeCell ref="T35:V35"/>
    <mergeCell ref="W35:Y35"/>
    <mergeCell ref="V27:W27"/>
    <mergeCell ref="G33:H33"/>
    <mergeCell ref="I33:K33"/>
    <mergeCell ref="Y27:Z27"/>
    <mergeCell ref="AB27:AC27"/>
    <mergeCell ref="T29:U29"/>
    <mergeCell ref="W29:Y29"/>
    <mergeCell ref="M33:O33"/>
    <mergeCell ref="C31:I31"/>
    <mergeCell ref="J31:O31"/>
    <mergeCell ref="P31:R31"/>
    <mergeCell ref="C29:H29"/>
    <mergeCell ref="I29:K29"/>
    <mergeCell ref="L29:N29"/>
    <mergeCell ref="P29:R29"/>
    <mergeCell ref="S31:U31"/>
    <mergeCell ref="S25:U25"/>
    <mergeCell ref="C27:G27"/>
    <mergeCell ref="I27:K27"/>
    <mergeCell ref="M27:O27"/>
    <mergeCell ref="Q27:S27"/>
    <mergeCell ref="C25:F25"/>
    <mergeCell ref="H25:J25"/>
    <mergeCell ref="L25:N25"/>
    <mergeCell ref="P25:Q25"/>
    <mergeCell ref="A21:AU21"/>
    <mergeCell ref="C23:G23"/>
    <mergeCell ref="H23:M23"/>
    <mergeCell ref="N23:O23"/>
    <mergeCell ref="Q23:U23"/>
    <mergeCell ref="V23:Y23"/>
    <mergeCell ref="S12:AB12"/>
    <mergeCell ref="E12:J12"/>
    <mergeCell ref="K12:P12"/>
    <mergeCell ref="Q12:R12"/>
    <mergeCell ref="C8:F8"/>
    <mergeCell ref="R8:U8"/>
    <mergeCell ref="K14:P14"/>
    <mergeCell ref="Q14:R14"/>
    <mergeCell ref="D14:J14"/>
    <mergeCell ref="D16:J16"/>
    <mergeCell ref="K16:P16"/>
    <mergeCell ref="Q16:R16"/>
    <mergeCell ref="B2:AC2"/>
    <mergeCell ref="K6:P6"/>
    <mergeCell ref="Q6:T6"/>
    <mergeCell ref="E6:J6"/>
    <mergeCell ref="V4:Y4"/>
    <mergeCell ref="Z4:AA4"/>
    <mergeCell ref="R4:U4"/>
    <mergeCell ref="E4:J4"/>
    <mergeCell ref="K4:N4"/>
    <mergeCell ref="O4:P4"/>
    <mergeCell ref="V8:Y8"/>
    <mergeCell ref="Z8:AA8"/>
    <mergeCell ref="G10:J10"/>
    <mergeCell ref="K10:N10"/>
    <mergeCell ref="O10:P10"/>
    <mergeCell ref="H8:J8"/>
    <mergeCell ref="K8:N8"/>
    <mergeCell ref="O8:P8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8"/>
  <sheetViews>
    <sheetView workbookViewId="0">
      <selection activeCell="H32" sqref="H32"/>
    </sheetView>
  </sheetViews>
  <sheetFormatPr defaultRowHeight="20.100000000000001" customHeight="1" x14ac:dyDescent="0.15"/>
  <cols>
    <col min="1" max="1" width="1.25" style="9" customWidth="1"/>
    <col min="2" max="2" width="20.625" style="9" customWidth="1"/>
    <col min="3" max="3" width="16.875" style="9" customWidth="1"/>
    <col min="4" max="4" width="9.75" style="9" customWidth="1"/>
    <col min="5" max="5" width="15.375" style="9" customWidth="1"/>
    <col min="6" max="6" width="9" style="9"/>
    <col min="7" max="7" width="10.625" style="9" customWidth="1"/>
    <col min="8" max="16384" width="9" style="9"/>
  </cols>
  <sheetData>
    <row r="1" spans="1:10" ht="20.100000000000001" customHeight="1" x14ac:dyDescent="0.15">
      <c r="A1" s="18" t="s">
        <v>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0.100000000000001" customHeight="1" thickBot="1" x14ac:dyDescent="0.2"/>
    <row r="3" spans="1:10" ht="20.100000000000001" customHeight="1" x14ac:dyDescent="0.15">
      <c r="B3" s="189" t="s">
        <v>55</v>
      </c>
      <c r="C3" s="190"/>
      <c r="D3" s="190"/>
      <c r="E3" s="39"/>
    </row>
    <row r="4" spans="1:10" ht="20.100000000000001" customHeight="1" x14ac:dyDescent="0.15">
      <c r="B4" s="11" t="s">
        <v>4</v>
      </c>
      <c r="C4" s="134">
        <v>300</v>
      </c>
      <c r="D4" s="19" t="s">
        <v>0</v>
      </c>
      <c r="E4" s="13"/>
    </row>
    <row r="5" spans="1:10" ht="20.100000000000001" customHeight="1" x14ac:dyDescent="0.15">
      <c r="B5" s="11" t="s">
        <v>6</v>
      </c>
      <c r="C5" s="134">
        <v>200</v>
      </c>
      <c r="D5" s="19" t="s">
        <v>0</v>
      </c>
      <c r="E5" s="13"/>
    </row>
    <row r="6" spans="1:10" ht="20.100000000000001" customHeight="1" x14ac:dyDescent="0.15">
      <c r="B6" s="11" t="s">
        <v>2</v>
      </c>
      <c r="C6" s="134">
        <v>6</v>
      </c>
      <c r="D6" s="19" t="s">
        <v>0</v>
      </c>
      <c r="E6" s="13"/>
    </row>
    <row r="7" spans="1:10" ht="20.100000000000001" customHeight="1" x14ac:dyDescent="0.15">
      <c r="B7" s="11" t="s">
        <v>1</v>
      </c>
      <c r="C7" s="134">
        <v>8</v>
      </c>
      <c r="D7" s="19" t="s">
        <v>0</v>
      </c>
      <c r="E7" s="13"/>
    </row>
    <row r="8" spans="1:10" ht="4.5" customHeight="1" x14ac:dyDescent="0.15">
      <c r="B8" s="11"/>
      <c r="C8" s="19"/>
      <c r="D8" s="19"/>
      <c r="E8" s="13"/>
    </row>
    <row r="9" spans="1:10" ht="20.100000000000001" customHeight="1" x14ac:dyDescent="0.15">
      <c r="B9" s="11" t="s">
        <v>11</v>
      </c>
      <c r="C9" s="43">
        <f>IF(C4="","",IF(C5="","",IF(C7="","",IF(C6="","",ROUND((2*C5/1000*C7+(C4/1000-C7/500)*C6)*7.85,2)))))</f>
        <v>38.5</v>
      </c>
      <c r="D9" s="19" t="s">
        <v>3</v>
      </c>
      <c r="E9" s="13"/>
    </row>
    <row r="10" spans="1:10" ht="3.75" customHeight="1" x14ac:dyDescent="0.15">
      <c r="B10" s="11"/>
      <c r="C10" s="48"/>
      <c r="D10" s="19"/>
      <c r="E10" s="13"/>
    </row>
    <row r="11" spans="1:10" ht="20.100000000000001" customHeight="1" x14ac:dyDescent="0.15">
      <c r="B11" s="11" t="s">
        <v>53</v>
      </c>
      <c r="C11" s="49">
        <f>IF(OR(C4="",C5="",C6="",C7="",C4=0,C5=0,C6=0,C7=0),"",ROUND(C5*C7/50+(C4-2*C7)*C6/100,1))</f>
        <v>49</v>
      </c>
      <c r="D11" s="19" t="s">
        <v>54</v>
      </c>
      <c r="E11" s="13"/>
    </row>
    <row r="12" spans="1:10" ht="3" customHeight="1" x14ac:dyDescent="0.15">
      <c r="B12" s="11"/>
      <c r="C12" s="48"/>
      <c r="D12" s="19"/>
      <c r="E12" s="13"/>
    </row>
    <row r="13" spans="1:10" ht="20.100000000000001" customHeight="1" x14ac:dyDescent="0.15">
      <c r="B13" s="11" t="s">
        <v>45</v>
      </c>
      <c r="C13" s="49">
        <f>IF(OR(C4="",C5="",C6="",C7="",C4=0,C5=0,C6=0,C7=0),"",ROUND(((C4-2*C7)^3*C6/6+C5*C7*(C4-C7)^2)/(2*10^4),1))</f>
        <v>7966.4</v>
      </c>
      <c r="D13" s="19" t="s">
        <v>46</v>
      </c>
      <c r="E13" s="50"/>
    </row>
    <row r="14" spans="1:10" ht="3" customHeight="1" x14ac:dyDescent="0.15">
      <c r="B14" s="11"/>
      <c r="C14" s="48"/>
      <c r="D14" s="19"/>
      <c r="E14" s="13"/>
    </row>
    <row r="15" spans="1:10" ht="18.75" customHeight="1" x14ac:dyDescent="0.15">
      <c r="B15" s="11" t="s">
        <v>47</v>
      </c>
      <c r="C15" s="49">
        <f>IF(OR(C5="",C7="",C5=0,C7=0),"",C7/5*(C5/10)^3/12)</f>
        <v>1066.6666666666667</v>
      </c>
      <c r="D15" s="19" t="s">
        <v>46</v>
      </c>
      <c r="E15" s="13"/>
    </row>
    <row r="16" spans="1:10" ht="3.75" customHeight="1" x14ac:dyDescent="0.15">
      <c r="B16" s="11"/>
      <c r="C16" s="48"/>
      <c r="D16" s="19"/>
      <c r="E16" s="13"/>
    </row>
    <row r="17" spans="2:67" ht="20.100000000000001" customHeight="1" x14ac:dyDescent="0.15">
      <c r="B17" s="11" t="s">
        <v>50</v>
      </c>
      <c r="C17" s="43">
        <f>IF(OR(C11="",C13=""),"",ROUND(SQRT(C13/C11),2))</f>
        <v>12.75</v>
      </c>
      <c r="D17" s="19" t="s">
        <v>49</v>
      </c>
      <c r="E17" s="13"/>
    </row>
    <row r="18" spans="2:67" ht="3.75" customHeight="1" x14ac:dyDescent="0.15">
      <c r="B18" s="11"/>
      <c r="C18" s="48"/>
      <c r="D18" s="19"/>
      <c r="E18" s="13"/>
    </row>
    <row r="19" spans="2:67" ht="20.100000000000001" customHeight="1" x14ac:dyDescent="0.15">
      <c r="B19" s="11" t="s">
        <v>48</v>
      </c>
      <c r="C19" s="43">
        <f>IF(OR(C11="",C15=""),"",ROUND(SQRT(C15/C11),2))</f>
        <v>4.67</v>
      </c>
      <c r="D19" s="19" t="s">
        <v>49</v>
      </c>
      <c r="E19" s="13"/>
    </row>
    <row r="20" spans="2:67" ht="3.75" customHeight="1" x14ac:dyDescent="0.15">
      <c r="B20" s="11"/>
      <c r="C20" s="48"/>
      <c r="D20" s="19"/>
      <c r="E20" s="13"/>
    </row>
    <row r="21" spans="2:67" ht="20.100000000000001" customHeight="1" x14ac:dyDescent="0.15">
      <c r="B21" s="11" t="s">
        <v>51</v>
      </c>
      <c r="C21" s="49">
        <f>IF(OR(C4="",C13="",C4=0),"",20*(C13)/C4)</f>
        <v>531.09333333333336</v>
      </c>
      <c r="D21" s="19" t="s">
        <v>52</v>
      </c>
      <c r="E21" s="13"/>
    </row>
    <row r="22" spans="2:67" ht="3" customHeight="1" x14ac:dyDescent="0.15">
      <c r="B22" s="11"/>
      <c r="C22" s="48"/>
      <c r="D22" s="19"/>
      <c r="E22" s="13"/>
    </row>
    <row r="23" spans="2:67" ht="18" customHeight="1" thickBot="1" x14ac:dyDescent="0.2">
      <c r="B23" s="15"/>
      <c r="C23" s="16"/>
      <c r="D23" s="16"/>
      <c r="E23" s="17"/>
    </row>
    <row r="24" spans="2:67" ht="20.100000000000001" customHeight="1" thickBot="1" x14ac:dyDescent="0.2"/>
    <row r="25" spans="2:67" ht="20.100000000000001" customHeight="1" x14ac:dyDescent="0.15">
      <c r="B25" s="189" t="s">
        <v>56</v>
      </c>
      <c r="C25" s="190"/>
      <c r="D25" s="190"/>
      <c r="E25" s="191"/>
      <c r="G25" s="121" t="s">
        <v>177</v>
      </c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0"/>
    </row>
    <row r="26" spans="2:67" ht="20.100000000000001" customHeight="1" x14ac:dyDescent="0.15">
      <c r="B26" s="11" t="s">
        <v>4</v>
      </c>
      <c r="C26" s="134">
        <v>300</v>
      </c>
      <c r="D26" s="19" t="s">
        <v>0</v>
      </c>
      <c r="E26" s="13"/>
      <c r="G26" s="121" t="s">
        <v>178</v>
      </c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</row>
    <row r="27" spans="2:67" ht="20.100000000000001" customHeight="1" x14ac:dyDescent="0.15">
      <c r="B27" s="11" t="s">
        <v>7</v>
      </c>
      <c r="C27" s="134">
        <v>200</v>
      </c>
      <c r="D27" s="19" t="s">
        <v>0</v>
      </c>
      <c r="E27" s="13"/>
      <c r="G27" s="121" t="s">
        <v>179</v>
      </c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</row>
    <row r="28" spans="2:67" ht="20.100000000000001" customHeight="1" x14ac:dyDescent="0.15">
      <c r="B28" s="11" t="s">
        <v>8</v>
      </c>
      <c r="C28" s="134">
        <v>200</v>
      </c>
      <c r="D28" s="19" t="s">
        <v>0</v>
      </c>
      <c r="E28" s="13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</row>
    <row r="29" spans="2:67" ht="20.100000000000001" customHeight="1" x14ac:dyDescent="0.15">
      <c r="B29" s="11" t="s">
        <v>2</v>
      </c>
      <c r="C29" s="134">
        <v>6</v>
      </c>
      <c r="D29" s="19" t="s">
        <v>0</v>
      </c>
      <c r="E29" s="13"/>
    </row>
    <row r="30" spans="2:67" ht="20.100000000000001" customHeight="1" x14ac:dyDescent="0.15">
      <c r="B30" s="11" t="s">
        <v>9</v>
      </c>
      <c r="C30" s="134">
        <v>8</v>
      </c>
      <c r="D30" s="19" t="s">
        <v>0</v>
      </c>
      <c r="E30" s="13"/>
    </row>
    <row r="31" spans="2:67" ht="20.100000000000001" customHeight="1" x14ac:dyDescent="0.15">
      <c r="B31" s="11" t="s">
        <v>10</v>
      </c>
      <c r="C31" s="134">
        <v>8</v>
      </c>
      <c r="D31" s="19" t="s">
        <v>0</v>
      </c>
      <c r="E31" s="13"/>
    </row>
    <row r="32" spans="2:67" ht="20.100000000000001" customHeight="1" x14ac:dyDescent="0.15">
      <c r="B32" s="11" t="s">
        <v>11</v>
      </c>
      <c r="C32" s="43">
        <f>IF(C26="","",IF(C27="","",IF(C28="","",IF(C29="","",IF(C30="","",IF(C31="","",ROUND((((C27*C30+C28*C31)+(C26-C30-C31)*C29)*7.85)/1000,2)))))))</f>
        <v>38.5</v>
      </c>
      <c r="D32" s="19" t="s">
        <v>3</v>
      </c>
      <c r="E32" s="13"/>
    </row>
    <row r="33" spans="2:5" ht="4.5" customHeight="1" x14ac:dyDescent="0.15">
      <c r="B33" s="20"/>
      <c r="C33" s="118"/>
      <c r="D33" s="19"/>
      <c r="E33" s="13"/>
    </row>
    <row r="34" spans="2:5" ht="20.100000000000001" customHeight="1" x14ac:dyDescent="0.15">
      <c r="B34" s="11" t="s">
        <v>53</v>
      </c>
      <c r="C34" s="49">
        <f>IF(OR(C26="",C27="",C28="",C29="",C30="",C31="",C26=0,C27=0,C28=0,C29=0,C30=0,C31=0),"",(C27*C30+(C26-C30-C31)*C29+C28*C31)/100)</f>
        <v>49.04</v>
      </c>
      <c r="D34" s="19" t="s">
        <v>54</v>
      </c>
      <c r="E34" s="13"/>
    </row>
    <row r="35" spans="2:5" ht="4.5" customHeight="1" x14ac:dyDescent="0.15">
      <c r="B35" s="11"/>
      <c r="C35" s="48"/>
      <c r="D35" s="19"/>
      <c r="E35" s="13"/>
    </row>
    <row r="36" spans="2:5" ht="20.100000000000001" customHeight="1" x14ac:dyDescent="0.15">
      <c r="B36" s="11" t="s">
        <v>45</v>
      </c>
      <c r="C36" s="49">
        <f>IF(C32="","",1/30*(C28*(1/20*((C29*C26^2+(C28-C29)*C31^2+(C27-C29)*(2*C26-C30)*C30)/(C27*C30+C29*(C26-C30-C31)+C28*C31)))^3+C27*((C26-1/2*((C29*C26^2+(C28-C29)*C31^2+(C27-C29)*(2*C26-C30)*C30)/(C27*C30+C29*(C26-C30-C31)+C28*C31)))/10)^3-(C28-C29)*(1/20*((C29*C26^2+(C28-C29)*C31^2+(C27-C29)*(2*C26-C30)*C30)/(C27*C30+C29*(C26-C30-C31)+C28*C31))-C31/10)^3-(C27-C29)*(((C26-1/2*((C29*C26^2+(C28-C29)*C31^2+(C27-C29)*(2*C26-C30)*C30)/(C27*C30+C29*(C26-C30-C31)+C28*C31)))/10)-C30/10)^3))</f>
        <v>7968.1418666666759</v>
      </c>
      <c r="D36" s="19" t="s">
        <v>46</v>
      </c>
      <c r="E36" s="50"/>
    </row>
    <row r="37" spans="2:5" ht="4.5" customHeight="1" x14ac:dyDescent="0.15">
      <c r="B37" s="11"/>
      <c r="C37" s="48"/>
      <c r="D37" s="19"/>
      <c r="E37" s="13"/>
    </row>
    <row r="38" spans="2:5" ht="6" customHeight="1" thickBot="1" x14ac:dyDescent="0.2">
      <c r="B38" s="15"/>
      <c r="C38" s="16"/>
      <c r="D38" s="16"/>
      <c r="E38" s="17"/>
    </row>
  </sheetData>
  <mergeCells count="5">
    <mergeCell ref="H26:T26"/>
    <mergeCell ref="H27:U27"/>
    <mergeCell ref="H25:BO25"/>
    <mergeCell ref="B3:D3"/>
    <mergeCell ref="B25:E25"/>
  </mergeCells>
  <phoneticPr fontId="2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"/>
  <sheetViews>
    <sheetView workbookViewId="0">
      <selection activeCell="K25" sqref="K25"/>
    </sheetView>
  </sheetViews>
  <sheetFormatPr defaultRowHeight="14.25" x14ac:dyDescent="0.15"/>
  <cols>
    <col min="1" max="1" width="6.625" customWidth="1"/>
    <col min="2" max="2" width="5.75" customWidth="1"/>
    <col min="3" max="3" width="3.875" customWidth="1"/>
    <col min="4" max="4" width="4.25" customWidth="1"/>
    <col min="5" max="5" width="7.875" customWidth="1"/>
    <col min="6" max="6" width="11.25" customWidth="1"/>
    <col min="7" max="7" width="12.625" customWidth="1"/>
    <col min="8" max="8" width="9.5" customWidth="1"/>
    <col min="9" max="9" width="11.125" customWidth="1"/>
  </cols>
  <sheetData>
    <row r="1" spans="1:14" ht="22.5" x14ac:dyDescent="0.15">
      <c r="A1" s="291" t="s">
        <v>241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12.75" customHeight="1" x14ac:dyDescent="0.1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21.75" customHeight="1" x14ac:dyDescent="0.15">
      <c r="A3" s="157" t="s">
        <v>242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 t="s">
        <v>243</v>
      </c>
      <c r="M3" s="157" t="s">
        <v>244</v>
      </c>
      <c r="N3" s="157"/>
    </row>
    <row r="4" spans="1:14" ht="44.25" customHeight="1" x14ac:dyDescent="0.15">
      <c r="A4" s="158" t="s">
        <v>245</v>
      </c>
      <c r="B4" s="158" t="s">
        <v>246</v>
      </c>
      <c r="C4" s="292" t="s">
        <v>247</v>
      </c>
      <c r="D4" s="293"/>
      <c r="E4" s="159" t="s">
        <v>248</v>
      </c>
      <c r="F4" s="159" t="s">
        <v>249</v>
      </c>
      <c r="G4" s="159" t="s">
        <v>250</v>
      </c>
      <c r="H4" s="159" t="s">
        <v>251</v>
      </c>
      <c r="I4" s="160" t="s">
        <v>252</v>
      </c>
      <c r="J4" s="158" t="s">
        <v>253</v>
      </c>
      <c r="K4" s="158" t="s">
        <v>254</v>
      </c>
      <c r="L4" s="160" t="s">
        <v>255</v>
      </c>
      <c r="M4" s="158" t="s">
        <v>256</v>
      </c>
      <c r="N4" s="161" t="s">
        <v>257</v>
      </c>
    </row>
    <row r="5" spans="1:14" ht="45" customHeight="1" x14ac:dyDescent="0.15">
      <c r="A5" s="162">
        <v>1</v>
      </c>
      <c r="B5" s="162" t="s">
        <v>258</v>
      </c>
      <c r="C5" s="163"/>
      <c r="D5" s="164">
        <v>22</v>
      </c>
      <c r="E5" s="165">
        <v>100</v>
      </c>
      <c r="F5" s="165">
        <v>270</v>
      </c>
      <c r="G5" s="166">
        <f>ROUND(1000/E5*(SQRT((3.1416*F5)^2+E5))+3.1416*D5/2,2)</f>
        <v>8517.4699999999993</v>
      </c>
      <c r="H5" s="165">
        <v>0.4</v>
      </c>
      <c r="I5" s="167">
        <f>ROUND(G5*H5/10,2)</f>
        <v>340.7</v>
      </c>
      <c r="J5" s="168">
        <v>1</v>
      </c>
      <c r="K5" s="167">
        <f>ROUND(J5*I5/100,2)</f>
        <v>3.41</v>
      </c>
      <c r="L5" s="168">
        <v>2.98</v>
      </c>
      <c r="M5" s="167">
        <f>ROUND(L5*K5,2)</f>
        <v>10.16</v>
      </c>
      <c r="N5" s="169"/>
    </row>
    <row r="6" spans="1:14" ht="45" customHeight="1" x14ac:dyDescent="0.15">
      <c r="A6" s="168">
        <v>2</v>
      </c>
      <c r="B6" s="168" t="s">
        <v>259</v>
      </c>
      <c r="C6" s="163" t="s">
        <v>260</v>
      </c>
      <c r="D6" s="164">
        <v>8</v>
      </c>
      <c r="E6" s="168">
        <v>80</v>
      </c>
      <c r="F6" s="168">
        <v>948</v>
      </c>
      <c r="G6" s="166">
        <f>ROUND(1000/E6*(SQRT((3.1416*F6)^2+E6))+3.1416*D6/2,2)</f>
        <v>37240.69</v>
      </c>
      <c r="H6" s="168">
        <f>2.347+0.15</f>
        <v>2.4969999999999999</v>
      </c>
      <c r="I6" s="167">
        <f>ROUND(G6*H6/10,2)</f>
        <v>9299</v>
      </c>
      <c r="J6" s="168">
        <v>1</v>
      </c>
      <c r="K6" s="167">
        <f>ROUND(J6*I6/100,2)</f>
        <v>92.99</v>
      </c>
      <c r="L6" s="168">
        <v>0.39500000000000002</v>
      </c>
      <c r="M6" s="167">
        <f>ROUND(L6*K6,2)</f>
        <v>36.729999999999997</v>
      </c>
      <c r="N6" s="169"/>
    </row>
    <row r="7" spans="1:14" ht="45" customHeight="1" x14ac:dyDescent="0.15">
      <c r="A7" s="162">
        <v>3</v>
      </c>
      <c r="B7" s="168" t="s">
        <v>259</v>
      </c>
      <c r="C7" s="163"/>
      <c r="D7" s="164">
        <v>22</v>
      </c>
      <c r="E7" s="165">
        <v>150</v>
      </c>
      <c r="F7" s="165">
        <v>270</v>
      </c>
      <c r="G7" s="166">
        <f>ROUND(1000/E7*(SQRT((3.1416*F7)^2+E7))+3.1416*D7/2,2)</f>
        <v>5690.03</v>
      </c>
      <c r="H7" s="165">
        <v>0.8</v>
      </c>
      <c r="I7" s="167">
        <f>ROUND(G7*H7/10,2)</f>
        <v>455.2</v>
      </c>
      <c r="J7" s="168">
        <v>1</v>
      </c>
      <c r="K7" s="167">
        <f>ROUND(J7*I7/100,2)</f>
        <v>4.55</v>
      </c>
      <c r="L7" s="168">
        <v>2.98</v>
      </c>
      <c r="M7" s="167">
        <f>ROUND(L7*K7,2)</f>
        <v>13.56</v>
      </c>
      <c r="N7" s="169"/>
    </row>
    <row r="8" spans="1:14" ht="45" customHeight="1" x14ac:dyDescent="0.15">
      <c r="A8" s="294" t="s">
        <v>261</v>
      </c>
      <c r="B8" s="296" t="s">
        <v>262</v>
      </c>
      <c r="C8" s="297"/>
      <c r="D8" s="298"/>
      <c r="E8" s="170"/>
      <c r="F8" s="170"/>
      <c r="G8" s="171"/>
      <c r="H8" s="170"/>
      <c r="I8" s="169"/>
      <c r="J8" s="169"/>
      <c r="K8" s="169"/>
      <c r="L8" s="169"/>
      <c r="M8" s="172">
        <f>M6</f>
        <v>36.729999999999997</v>
      </c>
      <c r="N8" s="173"/>
    </row>
    <row r="9" spans="1:14" ht="45" customHeight="1" x14ac:dyDescent="0.15">
      <c r="A9" s="295"/>
      <c r="B9" s="296" t="s">
        <v>263</v>
      </c>
      <c r="C9" s="297"/>
      <c r="D9" s="298"/>
      <c r="E9" s="170"/>
      <c r="F9" s="170"/>
      <c r="G9" s="171"/>
      <c r="H9" s="170"/>
      <c r="I9" s="169"/>
      <c r="J9" s="169"/>
      <c r="K9" s="169"/>
      <c r="L9" s="169"/>
      <c r="M9" s="172">
        <f>M5+M7</f>
        <v>23.72</v>
      </c>
      <c r="N9" s="173"/>
    </row>
    <row r="10" spans="1:14" ht="25.5" customHeight="1" x14ac:dyDescent="0.15">
      <c r="A10" s="174" t="s">
        <v>264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6"/>
    </row>
    <row r="11" spans="1:14" ht="25.5" customHeight="1" x14ac:dyDescent="0.15">
      <c r="A11" s="177" t="s">
        <v>265</v>
      </c>
      <c r="B11" s="178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0"/>
    </row>
    <row r="12" spans="1:14" ht="25.5" customHeight="1" x14ac:dyDescent="0.15">
      <c r="A12" s="177" t="s">
        <v>266</v>
      </c>
      <c r="B12" s="178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0"/>
    </row>
    <row r="13" spans="1:14" ht="25.5" customHeight="1" x14ac:dyDescent="0.15">
      <c r="A13" s="181" t="s">
        <v>267</v>
      </c>
      <c r="B13" s="18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4"/>
    </row>
    <row r="14" spans="1:14" x14ac:dyDescent="0.15">
      <c r="A14" s="157"/>
      <c r="B14" s="157"/>
    </row>
    <row r="15" spans="1:14" x14ac:dyDescent="0.15">
      <c r="A15" s="157" t="s">
        <v>268</v>
      </c>
    </row>
    <row r="16" spans="1:14" x14ac:dyDescent="0.15">
      <c r="A16" s="157"/>
    </row>
    <row r="17" spans="1:12" x14ac:dyDescent="0.15">
      <c r="A17" s="185" t="s">
        <v>269</v>
      </c>
      <c r="B17" s="185"/>
      <c r="C17" s="185"/>
      <c r="D17" s="185"/>
      <c r="E17" s="185"/>
      <c r="F17" s="185" t="s">
        <v>270</v>
      </c>
      <c r="G17" s="185"/>
      <c r="H17" s="185"/>
      <c r="I17" s="185" t="s">
        <v>271</v>
      </c>
      <c r="J17" s="185"/>
      <c r="L17" s="186" t="s">
        <v>272</v>
      </c>
    </row>
  </sheetData>
  <mergeCells count="5">
    <mergeCell ref="A1:N1"/>
    <mergeCell ref="C4:D4"/>
    <mergeCell ref="A8:A9"/>
    <mergeCell ref="B8:D8"/>
    <mergeCell ref="B9:D9"/>
  </mergeCells>
  <phoneticPr fontId="2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AutoCAD.Drawing.15" shapeId="8193" r:id="rId3">
          <objectPr defaultSize="0" autoPict="0" r:id="rId4">
            <anchor moveWithCells="1" sizeWithCells="1">
              <from>
                <xdr:col>4</xdr:col>
                <xdr:colOff>0</xdr:colOff>
                <xdr:row>4</xdr:row>
                <xdr:rowOff>28575</xdr:rowOff>
              </from>
              <to>
                <xdr:col>4</xdr:col>
                <xdr:colOff>0</xdr:colOff>
                <xdr:row>4</xdr:row>
                <xdr:rowOff>533400</xdr:rowOff>
              </to>
            </anchor>
          </objectPr>
        </oleObject>
      </mc:Choice>
      <mc:Fallback>
        <oleObject progId="AutoCAD.Drawing.15" shapeId="8193" r:id="rId3"/>
      </mc:Fallback>
    </mc:AlternateContent>
    <mc:AlternateContent xmlns:mc="http://schemas.openxmlformats.org/markup-compatibility/2006">
      <mc:Choice Requires="x14">
        <oleObject progId="AutoCAD.Drawing.15" shapeId="8194" r:id="rId5">
          <objectPr defaultSize="0" autoPict="0" r:id="rId6">
            <anchor moveWithCells="1" sizeWithCells="1">
              <from>
                <xdr:col>2</xdr:col>
                <xdr:colOff>57150</xdr:colOff>
                <xdr:row>4</xdr:row>
                <xdr:rowOff>114300</xdr:rowOff>
              </from>
              <to>
                <xdr:col>2</xdr:col>
                <xdr:colOff>257175</xdr:colOff>
                <xdr:row>4</xdr:row>
                <xdr:rowOff>352425</xdr:rowOff>
              </to>
            </anchor>
          </objectPr>
        </oleObject>
      </mc:Choice>
      <mc:Fallback>
        <oleObject progId="AutoCAD.Drawing.15" shapeId="8194" r:id="rId5"/>
      </mc:Fallback>
    </mc:AlternateContent>
    <mc:AlternateContent xmlns:mc="http://schemas.openxmlformats.org/markup-compatibility/2006">
      <mc:Choice Requires="x14">
        <oleObject progId="AutoCAD.Drawing.15" shapeId="8195" r:id="rId7">
          <objectPr defaultSize="0" autoPict="0" r:id="rId8">
            <anchor moveWithCells="1" sizeWithCells="1">
              <from>
                <xdr:col>4</xdr:col>
                <xdr:colOff>0</xdr:colOff>
                <xdr:row>5</xdr:row>
                <xdr:rowOff>95250</xdr:rowOff>
              </from>
              <to>
                <xdr:col>4</xdr:col>
                <xdr:colOff>0</xdr:colOff>
                <xdr:row>5</xdr:row>
                <xdr:rowOff>485775</xdr:rowOff>
              </to>
            </anchor>
          </objectPr>
        </oleObject>
      </mc:Choice>
      <mc:Fallback>
        <oleObject progId="AutoCAD.Drawing.15" shapeId="8195" r:id="rId7"/>
      </mc:Fallback>
    </mc:AlternateContent>
    <mc:AlternateContent xmlns:mc="http://schemas.openxmlformats.org/markup-compatibility/2006">
      <mc:Choice Requires="x14">
        <oleObject progId="AutoCAD.Drawing.15" shapeId="8196" r:id="rId9">
          <objectPr defaultSize="0" autoPict="0" r:id="rId6">
            <anchor moveWithCells="1" sizeWithCells="1">
              <from>
                <xdr:col>2</xdr:col>
                <xdr:colOff>38100</xdr:colOff>
                <xdr:row>6</xdr:row>
                <xdr:rowOff>0</xdr:rowOff>
              </from>
              <to>
                <xdr:col>2</xdr:col>
                <xdr:colOff>238125</xdr:colOff>
                <xdr:row>6</xdr:row>
                <xdr:rowOff>0</xdr:rowOff>
              </to>
            </anchor>
          </objectPr>
        </oleObject>
      </mc:Choice>
      <mc:Fallback>
        <oleObject progId="AutoCAD.Drawing.15" shapeId="8196" r:id="rId9"/>
      </mc:Fallback>
    </mc:AlternateContent>
    <mc:AlternateContent xmlns:mc="http://schemas.openxmlformats.org/markup-compatibility/2006">
      <mc:Choice Requires="x14">
        <oleObject progId="AutoCAD.Drawing.15" shapeId="8197" r:id="rId10">
          <objectPr defaultSize="0" autoPict="0" r:id="rId11">
            <anchor moveWithCells="1" sizeWithCells="1">
              <from>
                <xdr:col>4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7</xdr:row>
                <xdr:rowOff>0</xdr:rowOff>
              </to>
            </anchor>
          </objectPr>
        </oleObject>
      </mc:Choice>
      <mc:Fallback>
        <oleObject progId="AutoCAD.Drawing.15" shapeId="8197" r:id="rId10"/>
      </mc:Fallback>
    </mc:AlternateContent>
    <mc:AlternateContent xmlns:mc="http://schemas.openxmlformats.org/markup-compatibility/2006">
      <mc:Choice Requires="x14">
        <oleObject progId="AutoCAD.Drawing.15" shapeId="8198" r:id="rId12">
          <objectPr defaultSize="0" autoPict="0" r:id="rId6">
            <anchor moveWithCells="1" sizeWithCells="1">
              <from>
                <xdr:col>2</xdr:col>
                <xdr:colOff>57150</xdr:colOff>
                <xdr:row>6</xdr:row>
                <xdr:rowOff>123825</xdr:rowOff>
              </from>
              <to>
                <xdr:col>2</xdr:col>
                <xdr:colOff>257175</xdr:colOff>
                <xdr:row>6</xdr:row>
                <xdr:rowOff>361950</xdr:rowOff>
              </to>
            </anchor>
          </objectPr>
        </oleObject>
      </mc:Choice>
      <mc:Fallback>
        <oleObject progId="AutoCAD.Drawing.15" shapeId="8198" r:id="rId12"/>
      </mc:Fallback>
    </mc:AlternateContent>
    <mc:AlternateContent xmlns:mc="http://schemas.openxmlformats.org/markup-compatibility/2006">
      <mc:Choice Requires="x14">
        <oleObject progId="AutoCAD.Drawing.15" shapeId="8199" r:id="rId13">
          <objectPr defaultSize="0" autoPict="0" r:id="rId6">
            <anchor moveWithCells="1" sizeWithCells="1">
              <from>
                <xdr:col>2</xdr:col>
                <xdr:colOff>38100</xdr:colOff>
                <xdr:row>7</xdr:row>
                <xdr:rowOff>0</xdr:rowOff>
              </from>
              <to>
                <xdr:col>2</xdr:col>
                <xdr:colOff>238125</xdr:colOff>
                <xdr:row>7</xdr:row>
                <xdr:rowOff>0</xdr:rowOff>
              </to>
            </anchor>
          </objectPr>
        </oleObject>
      </mc:Choice>
      <mc:Fallback>
        <oleObject progId="AutoCAD.Drawing.15" shapeId="8199" r:id="rId13"/>
      </mc:Fallback>
    </mc:AlternateContent>
    <mc:AlternateContent xmlns:mc="http://schemas.openxmlformats.org/markup-compatibility/2006">
      <mc:Choice Requires="x14">
        <oleObject progId="AutoCAD.Drawing.15" shapeId="8200" r:id="rId14">
          <objectPr defaultSize="0" autoPict="0" r:id="rId15">
            <anchor moveWithCells="1" sizeWithCells="1">
              <from>
                <xdr:col>4</xdr:col>
                <xdr:colOff>0</xdr:colOff>
                <xdr:row>6</xdr:row>
                <xdr:rowOff>0</xdr:rowOff>
              </from>
              <to>
                <xdr:col>4</xdr:col>
                <xdr:colOff>0</xdr:colOff>
                <xdr:row>6</xdr:row>
                <xdr:rowOff>0</xdr:rowOff>
              </to>
            </anchor>
          </objectPr>
        </oleObject>
      </mc:Choice>
      <mc:Fallback>
        <oleObject progId="AutoCAD.Drawing.15" shapeId="8200" r:id="rId14"/>
      </mc:Fallback>
    </mc:AlternateContent>
    <mc:AlternateContent xmlns:mc="http://schemas.openxmlformats.org/markup-compatibility/2006">
      <mc:Choice Requires="x14">
        <oleObject progId="AutoCAD.Drawing.15" shapeId="8201" r:id="rId16">
          <objectPr defaultSize="0" autoPict="0" r:id="rId17">
            <anchor moveWithCells="1" sizeWithCells="1">
              <from>
                <xdr:col>4</xdr:col>
                <xdr:colOff>0</xdr:colOff>
                <xdr:row>6</xdr:row>
                <xdr:rowOff>95250</xdr:rowOff>
              </from>
              <to>
                <xdr:col>4</xdr:col>
                <xdr:colOff>0</xdr:colOff>
                <xdr:row>6</xdr:row>
                <xdr:rowOff>485775</xdr:rowOff>
              </to>
            </anchor>
          </objectPr>
        </oleObject>
      </mc:Choice>
      <mc:Fallback>
        <oleObject progId="AutoCAD.Drawing.15" shapeId="8201" r:id="rId16"/>
      </mc:Fallback>
    </mc:AlternateContent>
    <mc:AlternateContent xmlns:mc="http://schemas.openxmlformats.org/markup-compatibility/2006">
      <mc:Choice Requires="x14">
        <oleObject progId="AutoCAD.Drawing.15" shapeId="8202" r:id="rId18">
          <objectPr defaultSize="0" autoPict="0" r:id="rId6">
            <anchor moveWithCells="1" sizeWithCells="1">
              <from>
                <xdr:col>2</xdr:col>
                <xdr:colOff>28575</xdr:colOff>
                <xdr:row>7</xdr:row>
                <xdr:rowOff>0</xdr:rowOff>
              </from>
              <to>
                <xdr:col>2</xdr:col>
                <xdr:colOff>228600</xdr:colOff>
                <xdr:row>7</xdr:row>
                <xdr:rowOff>0</xdr:rowOff>
              </to>
            </anchor>
          </objectPr>
        </oleObject>
      </mc:Choice>
      <mc:Fallback>
        <oleObject progId="AutoCAD.Drawing.15" shapeId="8202" r:id="rId18"/>
      </mc:Fallback>
    </mc:AlternateContent>
    <mc:AlternateContent xmlns:mc="http://schemas.openxmlformats.org/markup-compatibility/2006">
      <mc:Choice Requires="x14">
        <oleObject progId="AutoCAD.Drawing.15" shapeId="8203" r:id="rId19">
          <objectPr defaultSize="0" autoPict="0" r:id="rId6">
            <anchor moveWithCells="1" sizeWithCells="1">
              <from>
                <xdr:col>2</xdr:col>
                <xdr:colOff>28575</xdr:colOff>
                <xdr:row>7</xdr:row>
                <xdr:rowOff>0</xdr:rowOff>
              </from>
              <to>
                <xdr:col>2</xdr:col>
                <xdr:colOff>228600</xdr:colOff>
                <xdr:row>7</xdr:row>
                <xdr:rowOff>0</xdr:rowOff>
              </to>
            </anchor>
          </objectPr>
        </oleObject>
      </mc:Choice>
      <mc:Fallback>
        <oleObject progId="AutoCAD.Drawing.15" shapeId="8203" r:id="rId1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型钢单重等计算</vt:lpstr>
      <vt:lpstr>常用螺栓使用长度计算</vt:lpstr>
      <vt:lpstr>彩钢板相关计算</vt:lpstr>
      <vt:lpstr>吨位换算车次</vt:lpstr>
      <vt:lpstr>花纹钢板防火涂料</vt:lpstr>
      <vt:lpstr>焊接工字截面特性参数计算</vt:lpstr>
      <vt:lpstr>螺旋钢筋</vt:lpstr>
    </vt:vector>
  </TitlesOfParts>
  <Company>syq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syq</dc:creator>
  <cp:lastModifiedBy>雷安明</cp:lastModifiedBy>
  <dcterms:created xsi:type="dcterms:W3CDTF">2005-06-07T00:38:08Z</dcterms:created>
  <dcterms:modified xsi:type="dcterms:W3CDTF">2019-09-16T09:15:54Z</dcterms:modified>
</cp:coreProperties>
</file>